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120" yWindow="110" windowWidth="15180" windowHeight="8070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inflation">Sheet1!$D$14</definedName>
    <definedName name="originalworkingcap">Sheet1!$D$17</definedName>
    <definedName name="Pal_Workbook_GUID" hidden="1">"S8CY9THQHEEN3BK8T2JST9U5"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"$D$35"</definedName>
    <definedName name="RiskSelectedNameCell1" hidden="1">"$C$35"</definedName>
    <definedName name="RiskSelectedNameCell2" hidden="1">"$D$33"</definedName>
    <definedName name="RiskShowRiskWindowAtEndOfSimulation">TRUE</definedName>
    <definedName name="RiskStandardRecalc" hidden="1">2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cenario">Sheet1!$D$8</definedName>
    <definedName name="sizegrowth">Sheet1!$D$9</definedName>
    <definedName name="tax">Sheet1!$D$6</definedName>
    <definedName name="wacc">Sheet1!$D$7</definedName>
    <definedName name="warrantypercent">Sheet1!$D$15</definedName>
    <definedName name="wcpercent">Sheet1!$D$16</definedName>
  </definedNames>
  <calcPr calcId="171027"/>
</workbook>
</file>

<file path=xl/calcChain.xml><?xml version="1.0" encoding="utf-8"?>
<calcChain xmlns="http://schemas.openxmlformats.org/spreadsheetml/2006/main">
  <c r="D15" i="1" l="1"/>
  <c r="D16" i="1"/>
  <c r="D17" i="1"/>
  <c r="E23" i="1" s="1"/>
  <c r="C11" i="1"/>
  <c r="F20" i="1" s="1"/>
  <c r="D8" i="1"/>
  <c r="C13" i="1" s="1"/>
  <c r="C4" i="1"/>
  <c r="E19" i="1" s="1"/>
  <c r="G27" i="1"/>
  <c r="H27" i="1"/>
  <c r="I27" i="1"/>
  <c r="J27" i="1"/>
  <c r="F21" i="1" l="1"/>
  <c r="F22" i="1" s="1"/>
  <c r="G20" i="1"/>
  <c r="H30" i="1"/>
  <c r="F30" i="1"/>
  <c r="E33" i="1"/>
  <c r="I30" i="1"/>
  <c r="J30" i="1"/>
  <c r="G30" i="1"/>
  <c r="G21" i="1"/>
  <c r="H20" i="1"/>
  <c r="I21" i="1"/>
  <c r="J21" i="1"/>
  <c r="F25" i="1"/>
  <c r="G25" i="1" s="1"/>
  <c r="H25" i="1" s="1"/>
  <c r="I25" i="1" s="1"/>
  <c r="J25" i="1" s="1"/>
  <c r="F29" i="1"/>
  <c r="H21" i="1"/>
  <c r="I20" i="1" l="1"/>
  <c r="H22" i="1"/>
  <c r="F28" i="1"/>
  <c r="F26" i="1"/>
  <c r="G22" i="1"/>
  <c r="F24" i="1" l="1"/>
  <c r="F31" i="1"/>
  <c r="F32" i="1" s="1"/>
  <c r="F23" i="1"/>
  <c r="G28" i="1"/>
  <c r="G26" i="1"/>
  <c r="H26" i="1"/>
  <c r="H28" i="1"/>
  <c r="J20" i="1"/>
  <c r="J22" i="1" s="1"/>
  <c r="I22" i="1"/>
  <c r="F33" i="1" l="1"/>
  <c r="J28" i="1"/>
  <c r="J26" i="1"/>
  <c r="H31" i="1"/>
  <c r="H32" i="1" s="1"/>
  <c r="H33" i="1" s="1"/>
  <c r="H24" i="1"/>
  <c r="H23" i="1"/>
  <c r="I28" i="1"/>
  <c r="I26" i="1"/>
  <c r="G31" i="1"/>
  <c r="G32" i="1" s="1"/>
  <c r="G33" i="1" s="1"/>
  <c r="G24" i="1"/>
  <c r="G23" i="1"/>
  <c r="D35" i="1" l="1"/>
  <c r="D36" i="1" s="1"/>
  <c r="I24" i="1"/>
  <c r="I31" i="1"/>
  <c r="I32" i="1" s="1"/>
  <c r="I33" i="1" s="1"/>
  <c r="I23" i="1"/>
  <c r="J23" i="1"/>
  <c r="J31" i="1"/>
  <c r="J32" i="1" s="1"/>
  <c r="J33" i="1" s="1"/>
  <c r="J24" i="1"/>
</calcChain>
</file>

<file path=xl/sharedStrings.xml><?xml version="1.0" encoding="utf-8"?>
<sst xmlns="http://schemas.openxmlformats.org/spreadsheetml/2006/main" count="48" uniqueCount="45">
  <si>
    <t>Fixed cost</t>
  </si>
  <si>
    <t>Scenario</t>
  </si>
  <si>
    <t>good acceptance</t>
  </si>
  <si>
    <t>average acceptance</t>
  </si>
  <si>
    <t>poor acceptance</t>
  </si>
  <si>
    <t>80% chance double size of market year 3</t>
  </si>
  <si>
    <t>Prob</t>
  </si>
  <si>
    <t>Price</t>
  </si>
  <si>
    <t>size</t>
  </si>
  <si>
    <t>share</t>
  </si>
  <si>
    <t>price</t>
  </si>
  <si>
    <t>unit cost</t>
  </si>
  <si>
    <t>Share</t>
  </si>
  <si>
    <t>depreciation</t>
  </si>
  <si>
    <t>tax</t>
  </si>
  <si>
    <t>wacc</t>
  </si>
  <si>
    <t>beforetaxprof</t>
  </si>
  <si>
    <t>aftertaxprofit</t>
  </si>
  <si>
    <t>cash flow</t>
  </si>
  <si>
    <t>unit sales</t>
  </si>
  <si>
    <t>revenue</t>
  </si>
  <si>
    <t>variable cost</t>
  </si>
  <si>
    <t>fixupcost</t>
  </si>
  <si>
    <t>double in 2011?</t>
  </si>
  <si>
    <t>sizegrowth</t>
  </si>
  <si>
    <t>inflation</t>
  </si>
  <si>
    <t xml:space="preserve">must spend .5 billion to retool </t>
  </si>
  <si>
    <t>NPV</t>
  </si>
  <si>
    <t>min</t>
  </si>
  <si>
    <t>max</t>
  </si>
  <si>
    <t>warrantypercent</t>
  </si>
  <si>
    <t>wcpercent</t>
  </si>
  <si>
    <t>originalworkingcap</t>
  </si>
  <si>
    <t>workingcap</t>
  </si>
  <si>
    <t>warranty costs</t>
  </si>
  <si>
    <t>PI</t>
  </si>
  <si>
    <t>Mean Profitability index of .46</t>
  </si>
  <si>
    <t>Mean NPV of 526 million</t>
  </si>
  <si>
    <t>57% chance of NPV&gt;0.</t>
  </si>
  <si>
    <t>Fixed Cost</t>
  </si>
  <si>
    <t>Mean nPV $554 million</t>
  </si>
  <si>
    <t>58% chance making money</t>
  </si>
  <si>
    <t>Max upside double worst case downside</t>
  </si>
  <si>
    <t>Mean Profitability Index .48</t>
  </si>
  <si>
    <t>Scenario for acceptance is key driver of NPV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</si>
</sst>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14" fontId="2" fillId="0" borderId="0" xfId="0" applyNumberFormat="1" applyFont="1"/>
    <xf numFmtId="44" fontId="2" fillId="0" borderId="0" xfId="1" applyFont="1"/>
    <xf numFmtId="44" fontId="2" fillId="0" borderId="0" xfId="0" applyNumberFormat="1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4" fillId="6" borderId="0" xfId="0" applyFont="1" applyFill="1"/>
    <xf numFmtId="0" fontId="2" fillId="7" borderId="0" xfId="0" applyFont="1" applyFill="1"/>
    <xf numFmtId="44" fontId="2" fillId="7" borderId="0" xfId="0" applyNumberFormat="1" applyFont="1" applyFill="1"/>
    <xf numFmtId="11" fontId="2" fillId="2" borderId="0" xfId="0" applyNumberFormat="1" applyFont="1" applyFill="1"/>
    <xf numFmtId="11" fontId="2" fillId="4" borderId="0" xfId="0" applyNumberFormat="1" applyFont="1" applyFill="1"/>
    <xf numFmtId="11" fontId="2" fillId="3" borderId="0" xfId="0" applyNumberFormat="1" applyFont="1" applyFill="1"/>
  </cellXfs>
  <cellStyles count="2">
    <cellStyle name="Currency" xfId="1" builtinId="4"/>
    <cellStyle name="Normal" xfId="0" builtinId="0"/>
  </cellStyles>
  <dxfs count="9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28223</xdr:colOff>
      <xdr:row>10</xdr:row>
      <xdr:rowOff>119944</xdr:rowOff>
    </xdr:from>
    <xdr:to>
      <xdr:col>5</xdr:col>
      <xdr:colOff>317500</xdr:colOff>
      <xdr:row>19</xdr:row>
      <xdr:rowOff>21166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B63B53B0-8FD7-46ED-9977-C7E0E6F3B912}"/>
            </a:ext>
          </a:extLst>
        </xdr:cNvPr>
        <xdr:cNvCxnSpPr/>
      </xdr:nvCxnSpPr>
      <xdr:spPr>
        <a:xfrm>
          <a:off x="2674056" y="1742722"/>
          <a:ext cx="2130777" cy="136172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1093611</xdr:colOff>
      <xdr:row>3</xdr:row>
      <xdr:rowOff>127000</xdr:rowOff>
    </xdr:from>
    <xdr:to>
      <xdr:col>4</xdr:col>
      <xdr:colOff>112889</xdr:colOff>
      <xdr:row>18</xdr:row>
      <xdr:rowOff>141111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1456A402-AB3A-4638-8C53-45F3C7341B37}"/>
            </a:ext>
          </a:extLst>
        </xdr:cNvPr>
        <xdr:cNvCxnSpPr/>
      </xdr:nvCxnSpPr>
      <xdr:spPr>
        <a:xfrm>
          <a:off x="2377722" y="613833"/>
          <a:ext cx="1326445" cy="244827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1171222</xdr:colOff>
      <xdr:row>12</xdr:row>
      <xdr:rowOff>35278</xdr:rowOff>
    </xdr:from>
    <xdr:to>
      <xdr:col>7</xdr:col>
      <xdr:colOff>698500</xdr:colOff>
      <xdr:row>19</xdr:row>
      <xdr:rowOff>7055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A4DDCB22-5023-4FFD-BBD1-1C6314CF54B0}"/>
            </a:ext>
          </a:extLst>
        </xdr:cNvPr>
        <xdr:cNvCxnSpPr/>
      </xdr:nvCxnSpPr>
      <xdr:spPr>
        <a:xfrm>
          <a:off x="2455333" y="1982611"/>
          <a:ext cx="5461000" cy="110772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917223</xdr:colOff>
      <xdr:row>15</xdr:row>
      <xdr:rowOff>84666</xdr:rowOff>
    </xdr:from>
    <xdr:to>
      <xdr:col>4</xdr:col>
      <xdr:colOff>359833</xdr:colOff>
      <xdr:row>21</xdr:row>
      <xdr:rowOff>148167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13846885-785B-4FC2-A91B-A0BFC8A9623B}"/>
            </a:ext>
          </a:extLst>
        </xdr:cNvPr>
        <xdr:cNvCxnSpPr/>
      </xdr:nvCxnSpPr>
      <xdr:spPr>
        <a:xfrm>
          <a:off x="3563056" y="2518833"/>
          <a:ext cx="388055" cy="103716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790223</xdr:colOff>
      <xdr:row>8</xdr:row>
      <xdr:rowOff>0</xdr:rowOff>
    </xdr:from>
    <xdr:to>
      <xdr:col>5</xdr:col>
      <xdr:colOff>423334</xdr:colOff>
      <xdr:row>28</xdr:row>
      <xdr:rowOff>98778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1FA64495-92AE-4507-8120-A551AB3D0F75}"/>
            </a:ext>
          </a:extLst>
        </xdr:cNvPr>
        <xdr:cNvCxnSpPr/>
      </xdr:nvCxnSpPr>
      <xdr:spPr>
        <a:xfrm>
          <a:off x="3436056" y="1298222"/>
          <a:ext cx="1474611" cy="334433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41</xdr:row>
      <xdr:rowOff>0</xdr:rowOff>
    </xdr:from>
    <xdr:to>
      <xdr:col>7</xdr:col>
      <xdr:colOff>1117600</xdr:colOff>
      <xdr:row>64</xdr:row>
      <xdr:rowOff>38100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D13E70A-38CD-47BE-AD93-1D661043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6769100"/>
          <a:ext cx="7048500" cy="383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15</xdr:col>
      <xdr:colOff>241300</xdr:colOff>
      <xdr:row>70</xdr:row>
      <xdr:rowOff>38100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5A81FE99-5EAC-4860-8351-9E59964F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8050" y="7759700"/>
          <a:ext cx="7048500" cy="383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M55"/>
  <sheetViews>
    <sheetView tabSelected="1" topLeftCell="E1" zoomScale="90" workbookViewId="0">
      <selection activeCell="G15" sqref="G15"/>
    </sheetView>
  </sheetViews>
  <sheetFormatPr defaultColWidth="9.1796875" defaultRowHeight="13" x14ac:dyDescent="0.3"/>
  <cols>
    <col min="1" max="2" width="9.1796875" style="1"/>
    <col min="3" max="3" width="19.453125" style="1" customWidth="1"/>
    <col min="4" max="4" width="13.54296875" style="1" customWidth="1"/>
    <col min="5" max="5" width="12.81640625" style="1" bestFit="1" customWidth="1"/>
    <col min="6" max="6" width="20.26953125" style="1" customWidth="1"/>
    <col min="7" max="8" width="18.81640625" style="1" bestFit="1" customWidth="1"/>
    <col min="9" max="9" width="19.81640625" style="1" customWidth="1"/>
    <col min="10" max="10" width="18.81640625" style="1" bestFit="1" customWidth="1"/>
    <col min="11" max="11" width="9.26953125" style="1" bestFit="1" customWidth="1"/>
    <col min="12" max="12" width="22" style="1" customWidth="1"/>
    <col min="13" max="16384" width="9.1796875" style="1"/>
  </cols>
  <sheetData>
    <row r="1" spans="3:13" x14ac:dyDescent="0.3">
      <c r="E1" s="5" t="s">
        <v>39</v>
      </c>
      <c r="F1" s="5"/>
    </row>
    <row r="2" spans="3:13" x14ac:dyDescent="0.3">
      <c r="E2" s="5" t="s">
        <v>28</v>
      </c>
      <c r="F2" s="5">
        <v>0.5</v>
      </c>
    </row>
    <row r="3" spans="3:13" x14ac:dyDescent="0.3">
      <c r="C3" s="1" t="s">
        <v>0</v>
      </c>
      <c r="E3" s="5">
        <v>1</v>
      </c>
      <c r="F3" s="5">
        <v>2</v>
      </c>
      <c r="H3" s="1" t="s">
        <v>1</v>
      </c>
      <c r="I3" s="1" t="s">
        <v>6</v>
      </c>
      <c r="J3" s="1" t="s">
        <v>7</v>
      </c>
      <c r="K3" s="1" t="s">
        <v>12</v>
      </c>
    </row>
    <row r="4" spans="3:13" x14ac:dyDescent="0.3">
      <c r="C4" s="5">
        <f ca="1">_xll.RiskGeneral(0.5,5,E3:E5,F3:F5)</f>
        <v>2.2972490875854517</v>
      </c>
      <c r="E4" s="5">
        <v>2</v>
      </c>
      <c r="F4" s="5">
        <v>1</v>
      </c>
      <c r="H4" s="1">
        <v>1</v>
      </c>
      <c r="I4" s="1">
        <v>0.3</v>
      </c>
      <c r="J4" s="3">
        <v>2500</v>
      </c>
      <c r="K4">
        <v>0.4</v>
      </c>
      <c r="L4" s="1" t="s">
        <v>2</v>
      </c>
      <c r="M4" s="1" t="s">
        <v>5</v>
      </c>
    </row>
    <row r="5" spans="3:13" x14ac:dyDescent="0.3">
      <c r="E5" s="5">
        <v>4</v>
      </c>
      <c r="F5" s="5">
        <v>0.5</v>
      </c>
      <c r="H5" s="1">
        <v>2</v>
      </c>
      <c r="I5" s="1">
        <v>0.5</v>
      </c>
      <c r="J5" s="3">
        <v>2000</v>
      </c>
      <c r="K5">
        <v>0.3</v>
      </c>
      <c r="L5" s="1" t="s">
        <v>3</v>
      </c>
    </row>
    <row r="6" spans="3:13" x14ac:dyDescent="0.3">
      <c r="C6" s="1" t="s">
        <v>14</v>
      </c>
      <c r="D6" s="1">
        <v>0.4</v>
      </c>
      <c r="E6" s="5" t="s">
        <v>29</v>
      </c>
      <c r="F6" s="5">
        <v>5</v>
      </c>
      <c r="H6" s="1">
        <v>3</v>
      </c>
      <c r="I6" s="1">
        <v>0.2</v>
      </c>
      <c r="J6" s="3">
        <v>2000</v>
      </c>
      <c r="K6" s="1">
        <v>0.3</v>
      </c>
      <c r="L6" s="1" t="s">
        <v>4</v>
      </c>
      <c r="M6" s="1" t="s">
        <v>26</v>
      </c>
    </row>
    <row r="7" spans="3:13" x14ac:dyDescent="0.3">
      <c r="C7" s="1" t="s">
        <v>15</v>
      </c>
      <c r="D7" s="1">
        <v>0.12</v>
      </c>
    </row>
    <row r="8" spans="3:13" x14ac:dyDescent="0.3">
      <c r="C8" s="1" t="s">
        <v>1</v>
      </c>
      <c r="D8" s="9">
        <f ca="1">_xll.RiskDiscrete(H4:H6,I4:I6)</f>
        <v>1</v>
      </c>
    </row>
    <row r="9" spans="3:13" x14ac:dyDescent="0.3">
      <c r="C9" s="1" t="s">
        <v>24</v>
      </c>
      <c r="D9" s="1">
        <v>0.05</v>
      </c>
    </row>
    <row r="10" spans="3:13" x14ac:dyDescent="0.3">
      <c r="C10" s="1" t="s">
        <v>8</v>
      </c>
    </row>
    <row r="11" spans="3:13" x14ac:dyDescent="0.3">
      <c r="C11" s="14">
        <f ca="1">_xll.RiskTrigen(1000000, 2000000, 2500000, 10, 90)</f>
        <v>1696484.2770888936</v>
      </c>
    </row>
    <row r="12" spans="3:13" x14ac:dyDescent="0.3">
      <c r="C12" s="1" t="s">
        <v>23</v>
      </c>
    </row>
    <row r="13" spans="3:13" x14ac:dyDescent="0.3">
      <c r="C13" s="8" t="str">
        <f ca="1">IF(AND(D8=1,_xll.RiskBinomial(1,0.8)=1),"yes","no")</f>
        <v>yes</v>
      </c>
    </row>
    <row r="14" spans="3:13" x14ac:dyDescent="0.3">
      <c r="C14" s="1" t="s">
        <v>25</v>
      </c>
      <c r="D14" s="1">
        <v>0.04</v>
      </c>
    </row>
    <row r="15" spans="3:13" x14ac:dyDescent="0.3">
      <c r="C15" s="1" t="s">
        <v>30</v>
      </c>
      <c r="D15" s="7">
        <f ca="1">_xll.RiskUniform(1,5)</f>
        <v>3.7853994385206486</v>
      </c>
    </row>
    <row r="16" spans="3:13" x14ac:dyDescent="0.3">
      <c r="C16" s="1" t="s">
        <v>31</v>
      </c>
      <c r="D16" s="10">
        <f ca="1">_xll.RiskUniform(15,20)</f>
        <v>19.195039089190903</v>
      </c>
    </row>
    <row r="17" spans="3:12" x14ac:dyDescent="0.3">
      <c r="C17" s="1" t="s">
        <v>32</v>
      </c>
      <c r="D17" s="13">
        <f ca="1">_xll.RiskTriang(150000000,170000000,200000000)</f>
        <v>172103765.08455387</v>
      </c>
    </row>
    <row r="18" spans="3:12" x14ac:dyDescent="0.3">
      <c r="E18" s="2">
        <v>39448</v>
      </c>
      <c r="F18" s="2">
        <v>39994</v>
      </c>
      <c r="G18" s="2">
        <v>40359</v>
      </c>
      <c r="H18" s="2">
        <v>40724</v>
      </c>
      <c r="I18" s="2">
        <v>41090</v>
      </c>
      <c r="J18" s="2">
        <v>41455</v>
      </c>
      <c r="K18" s="2"/>
      <c r="L18" s="2"/>
    </row>
    <row r="19" spans="3:12" x14ac:dyDescent="0.3">
      <c r="D19" s="1" t="s">
        <v>0</v>
      </c>
      <c r="E19" s="12">
        <f ca="1">C4*(1000000000)</f>
        <v>2297249087.5854516</v>
      </c>
    </row>
    <row r="20" spans="3:12" x14ac:dyDescent="0.3">
      <c r="D20" s="1" t="s">
        <v>8</v>
      </c>
      <c r="F20" s="6">
        <f ca="1">C11</f>
        <v>1696484.2770888936</v>
      </c>
      <c r="G20" s="1">
        <f ca="1">F20*(1+sizegrowth)</f>
        <v>1781308.4909433383</v>
      </c>
      <c r="H20" s="8">
        <f ca="1">IF(C13="yes",2*(1+sizegrowth)*G20,(1+sizegrowth)*G20)</f>
        <v>3740747.8309810106</v>
      </c>
      <c r="I20" s="1">
        <f ca="1">H20*(1+sizegrowth)</f>
        <v>3927785.2225300614</v>
      </c>
      <c r="J20" s="1">
        <f ca="1">I20*(1+sizegrowth)</f>
        <v>4124174.4836565647</v>
      </c>
    </row>
    <row r="21" spans="3:12" x14ac:dyDescent="0.3">
      <c r="D21" s="1" t="s">
        <v>9</v>
      </c>
      <c r="F21" s="9">
        <f ca="1">VLOOKUP(Scenario,$H$4:$K$6,4)</f>
        <v>0.4</v>
      </c>
      <c r="G21" s="9">
        <f ca="1">VLOOKUP(Scenario,$H$4:$K$6,4)</f>
        <v>0.4</v>
      </c>
      <c r="H21" s="9">
        <f ca="1">VLOOKUP(Scenario,$H$4:$K$6,4)</f>
        <v>0.4</v>
      </c>
      <c r="I21" s="9">
        <f ca="1">VLOOKUP(Scenario,$H$4:$K$6,4)</f>
        <v>0.4</v>
      </c>
      <c r="J21" s="9">
        <f ca="1">VLOOKUP(Scenario,$H$4:$K$6,4)</f>
        <v>0.4</v>
      </c>
    </row>
    <row r="22" spans="3:12" x14ac:dyDescent="0.3">
      <c r="D22" s="1" t="s">
        <v>19</v>
      </c>
      <c r="F22" s="1">
        <f ca="1">F20*F21</f>
        <v>678593.71083555743</v>
      </c>
      <c r="G22" s="1">
        <f ca="1">G20*G21</f>
        <v>712523.3963773353</v>
      </c>
      <c r="H22" s="1">
        <f ca="1">H20*H21</f>
        <v>1496299.1323924044</v>
      </c>
      <c r="I22" s="1">
        <f ca="1">I20*I21</f>
        <v>1571114.0890120247</v>
      </c>
      <c r="J22" s="1">
        <f ca="1">J20*J21</f>
        <v>1649669.7934626259</v>
      </c>
    </row>
    <row r="23" spans="3:12" x14ac:dyDescent="0.3">
      <c r="D23" s="1" t="s">
        <v>33</v>
      </c>
      <c r="E23" s="10">
        <f ca="1">originalworkingcap</f>
        <v>172103765.08455387</v>
      </c>
      <c r="F23" s="11">
        <f ca="1">wcpercent*F26/100</f>
        <v>325640820.12919086</v>
      </c>
      <c r="G23" s="11">
        <f ca="1">wcpercent*G26/100</f>
        <v>355599775.58107644</v>
      </c>
      <c r="H23" s="11">
        <f ca="1">wcpercent*H26/100</f>
        <v>776629909.86907089</v>
      </c>
      <c r="I23" s="11">
        <f ca="1">wcpercent*I26/100</f>
        <v>848079861.57702565</v>
      </c>
      <c r="J23" s="11">
        <f ca="1">wcpercent*J26/100</f>
        <v>926103208.84211206</v>
      </c>
    </row>
    <row r="24" spans="3:12" x14ac:dyDescent="0.3">
      <c r="D24" s="1" t="s">
        <v>34</v>
      </c>
      <c r="F24" s="4">
        <f ca="1">F26*wcpercent/100</f>
        <v>325640820.12919086</v>
      </c>
      <c r="G24" s="4">
        <f ca="1">G26*wcpercent/100</f>
        <v>355599775.58107644</v>
      </c>
      <c r="H24" s="4">
        <f ca="1">H26*wcpercent/100</f>
        <v>776629909.86907089</v>
      </c>
      <c r="I24" s="4">
        <f ca="1">I26*wcpercent/100</f>
        <v>848079861.57702565</v>
      </c>
      <c r="J24" s="4">
        <f ca="1">J26*wcpercent/100</f>
        <v>926103208.84211206</v>
      </c>
    </row>
    <row r="25" spans="3:12" x14ac:dyDescent="0.3">
      <c r="D25" s="1" t="s">
        <v>10</v>
      </c>
      <c r="F25" s="3">
        <f ca="1">VLOOKUP(Scenario,$H$4:$K$6,3)</f>
        <v>2500</v>
      </c>
      <c r="G25" s="3">
        <f ca="1">F25*(1+inflation)</f>
        <v>2600</v>
      </c>
      <c r="H25" s="3">
        <f ca="1">G25*(1+inflation)</f>
        <v>2704</v>
      </c>
      <c r="I25" s="3">
        <f ca="1">H25*(1+inflation)</f>
        <v>2812.1600000000003</v>
      </c>
      <c r="J25" s="3">
        <f ca="1">I25*(1+inflation)</f>
        <v>2924.6464000000005</v>
      </c>
    </row>
    <row r="26" spans="3:12" x14ac:dyDescent="0.3">
      <c r="D26" s="1" t="s">
        <v>20</v>
      </c>
      <c r="F26" s="4">
        <f ca="1">F22*F25</f>
        <v>1696484277.0888937</v>
      </c>
      <c r="G26" s="4">
        <f ca="1">G22*G25</f>
        <v>1852560830.5810719</v>
      </c>
      <c r="H26" s="4">
        <f ca="1">H22*H25</f>
        <v>4045992853.9890614</v>
      </c>
      <c r="I26" s="4">
        <f ca="1">I22*I25</f>
        <v>4418224196.556056</v>
      </c>
      <c r="J26" s="4">
        <f ca="1">J22*J25</f>
        <v>4824700822.6392136</v>
      </c>
    </row>
    <row r="27" spans="3:12" x14ac:dyDescent="0.3">
      <c r="D27" s="1" t="s">
        <v>11</v>
      </c>
      <c r="F27" s="3">
        <v>800</v>
      </c>
      <c r="G27" s="3">
        <f>F27*(1+inflation)</f>
        <v>832</v>
      </c>
      <c r="H27" s="3">
        <f>G27*(1+inflation)</f>
        <v>865.28</v>
      </c>
      <c r="I27" s="3">
        <f>H27*(1+inflation)</f>
        <v>899.89120000000003</v>
      </c>
      <c r="J27" s="3">
        <f>I27*(1+inflation)</f>
        <v>935.8868480000001</v>
      </c>
    </row>
    <row r="28" spans="3:12" x14ac:dyDescent="0.3">
      <c r="D28" s="1" t="s">
        <v>21</v>
      </c>
      <c r="F28" s="4">
        <f ca="1">F27*F22</f>
        <v>542874968.66844594</v>
      </c>
      <c r="G28" s="4">
        <f ca="1">G27*G22</f>
        <v>592819465.78594303</v>
      </c>
      <c r="H28" s="4">
        <f ca="1">H27*H22</f>
        <v>1294717713.2764995</v>
      </c>
      <c r="I28" s="4">
        <f ca="1">I27*I22</f>
        <v>1413831742.8979378</v>
      </c>
      <c r="J28" s="4">
        <f ca="1">J27*J22</f>
        <v>1543904263.2445481</v>
      </c>
    </row>
    <row r="29" spans="3:12" x14ac:dyDescent="0.3">
      <c r="D29" s="1" t="s">
        <v>22</v>
      </c>
      <c r="F29" s="9">
        <f ca="1">IF(Scenario=3,500000000,0)</f>
        <v>0</v>
      </c>
    </row>
    <row r="30" spans="3:12" x14ac:dyDescent="0.3">
      <c r="D30" s="1" t="s">
        <v>13</v>
      </c>
      <c r="F30" s="1">
        <f ca="1">$E$19/5</f>
        <v>459449817.51709032</v>
      </c>
      <c r="G30" s="1">
        <f ca="1">$E$19/5</f>
        <v>459449817.51709032</v>
      </c>
      <c r="H30" s="1">
        <f ca="1">$E$19/5</f>
        <v>459449817.51709032</v>
      </c>
      <c r="I30" s="1">
        <f ca="1">$E$19/5</f>
        <v>459449817.51709032</v>
      </c>
      <c r="J30" s="1">
        <f ca="1">$E$19/5</f>
        <v>459449817.51709032</v>
      </c>
    </row>
    <row r="31" spans="3:12" x14ac:dyDescent="0.3">
      <c r="D31" s="1" t="s">
        <v>16</v>
      </c>
      <c r="F31" s="4">
        <f ca="1">F26-F28-F29-F30</f>
        <v>694159490.90335751</v>
      </c>
      <c r="G31" s="4">
        <f ca="1">G26-G28-G29-G30</f>
        <v>800291547.2780385</v>
      </c>
      <c r="H31" s="4">
        <f ca="1">H26-H28-H29-H30</f>
        <v>2291825323.1954713</v>
      </c>
      <c r="I31" s="4">
        <f ca="1">I26-I28-I29-I30</f>
        <v>2544942636.1410279</v>
      </c>
      <c r="J31" s="4">
        <f ca="1">J26-J28-J29-J30</f>
        <v>2821346741.8775754</v>
      </c>
    </row>
    <row r="32" spans="3:12" x14ac:dyDescent="0.3">
      <c r="D32" s="1" t="s">
        <v>17</v>
      </c>
      <c r="F32" s="4">
        <f ca="1">(1-tax)*F31</f>
        <v>416495694.54201448</v>
      </c>
      <c r="G32" s="4">
        <f ca="1">(1-tax)*G31</f>
        <v>480174928.36682308</v>
      </c>
      <c r="H32" s="4">
        <f ca="1">(1-tax)*H31</f>
        <v>1375095193.9172828</v>
      </c>
      <c r="I32" s="4">
        <f ca="1">(1-tax)*I31</f>
        <v>1526965581.6846168</v>
      </c>
      <c r="J32" s="4">
        <f ca="1">(1-tax)*J31</f>
        <v>1692808045.1265452</v>
      </c>
    </row>
    <row r="33" spans="3:11" x14ac:dyDescent="0.3">
      <c r="D33" s="1" t="s">
        <v>18</v>
      </c>
      <c r="E33" s="1">
        <f ca="1">-E19-E23</f>
        <v>-2469352852.6700053</v>
      </c>
      <c r="F33" s="4">
        <f ca="1">F32+F30-(F23-E23)</f>
        <v>722408457.01446784</v>
      </c>
      <c r="G33" s="4">
        <f ca="1">G32+G30</f>
        <v>939624745.8839134</v>
      </c>
      <c r="H33" s="4">
        <f ca="1">H32+H30</f>
        <v>1834545011.4343731</v>
      </c>
      <c r="I33" s="4">
        <f ca="1">I32+I30</f>
        <v>1986415399.2017071</v>
      </c>
      <c r="J33" s="4">
        <f ca="1">J32+J30</f>
        <v>2152257862.6436357</v>
      </c>
    </row>
    <row r="35" spans="3:11" x14ac:dyDescent="0.3">
      <c r="C35" s="1" t="s">
        <v>27</v>
      </c>
      <c r="D35" s="1">
        <f ca="1">_xll.RiskOutput() +XNPV( wacc,E33:J33,E18:J18)</f>
        <v>2430161560.952261</v>
      </c>
    </row>
    <row r="36" spans="3:11" x14ac:dyDescent="0.3">
      <c r="C36" s="1" t="s">
        <v>35</v>
      </c>
      <c r="D36" s="1">
        <f ca="1">_xll.RiskOutput() + D35/(-E33)</f>
        <v>0.98412892200668345</v>
      </c>
    </row>
    <row r="37" spans="3:11" x14ac:dyDescent="0.3">
      <c r="G37" s="1" t="s">
        <v>37</v>
      </c>
    </row>
    <row r="38" spans="3:11" x14ac:dyDescent="0.3">
      <c r="G38" s="1" t="s">
        <v>38</v>
      </c>
    </row>
    <row r="41" spans="3:11" x14ac:dyDescent="0.3">
      <c r="I41" s="1" t="s">
        <v>40</v>
      </c>
    </row>
    <row r="42" spans="3:11" x14ac:dyDescent="0.3">
      <c r="I42" s="1" t="s">
        <v>41</v>
      </c>
    </row>
    <row r="43" spans="3:11" x14ac:dyDescent="0.3">
      <c r="I43" s="1" t="s">
        <v>42</v>
      </c>
    </row>
    <row r="44" spans="3:11" x14ac:dyDescent="0.3">
      <c r="I44" s="1" t="s">
        <v>43</v>
      </c>
    </row>
    <row r="45" spans="3:11" x14ac:dyDescent="0.3">
      <c r="K45" s="1" t="s">
        <v>44</v>
      </c>
    </row>
    <row r="55" spans="3:3" x14ac:dyDescent="0.3">
      <c r="C55" s="1" t="s">
        <v>36</v>
      </c>
    </row>
  </sheetData>
  <phoneticPr fontId="3" type="noConversion"/>
  <printOptions headings="1" gridLines="1"/>
  <pageMargins left="0.75" right="0.75" top="1" bottom="1" header="0.5" footer="0.5"/>
  <pageSetup scale="4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Sheet1</vt:lpstr>
      <vt:lpstr>inflation</vt:lpstr>
      <vt:lpstr>originalworkingcap</vt:lpstr>
      <vt:lpstr>Scenario</vt:lpstr>
      <vt:lpstr>sizegrowth</vt:lpstr>
      <vt:lpstr>tax</vt:lpstr>
      <vt:lpstr>wacc</vt:lpstr>
      <vt:lpstr>warrantypercent</vt:lpstr>
      <vt:lpstr>wcpercent</vt:lpstr>
    </vt:vector>
  </TitlesOfParts>
  <Company>Indiana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 Services</dc:creator>
  <cp:lastModifiedBy>Owner</cp:lastModifiedBy>
  <cp:lastPrinted>2007-10-18T13:33:23Z</cp:lastPrinted>
  <dcterms:created xsi:type="dcterms:W3CDTF">2007-10-02T12:20:02Z</dcterms:created>
  <dcterms:modified xsi:type="dcterms:W3CDTF">2017-05-13T11:42:28Z</dcterms:modified>
</cp:coreProperties>
</file>