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qc\"/>
    </mc:Choice>
  </mc:AlternateContent>
  <bookViews>
    <workbookView xWindow="0" yWindow="0" windowWidth="19200" windowHeight="7900" activeTab="3" xr2:uid="{D26C0798-3554-40C6-9AF2-F3F1FB353198}"/>
  </bookViews>
  <sheets>
    <sheet name="pchart" sheetId="1" r:id="rId1"/>
    <sheet name="xbar " sheetId="6" r:id="rId2"/>
    <sheet name="ProcessCapability" sheetId="4" r:id="rId3"/>
    <sheet name="Six Sigma" sheetId="5" r:id="rId4"/>
  </sheets>
  <definedNames>
    <definedName name="A2forxbar">'xbar '!$D$8</definedName>
    <definedName name="batch_size" localSheetId="1">'xbar '!$F$5</definedName>
    <definedName name="batch_size">pchart!$F$4</definedName>
    <definedName name="D3forRbar">'xbar '!$D$10</definedName>
    <definedName name="D4forRbar">'xbar '!$D$9</definedName>
    <definedName name="LCL" localSheetId="1">'xbar '!$D$8</definedName>
    <definedName name="LCL">pchart!$D$7</definedName>
    <definedName name="lower1" localSheetId="1">'xbar '!$D$12</definedName>
    <definedName name="lower1">pchart!$D$11</definedName>
    <definedName name="lower2" localSheetId="1">'xbar '!$D$10</definedName>
    <definedName name="lower2">pchart!$D$9</definedName>
    <definedName name="lowercontrolRbar">'xbar '!$D$1</definedName>
    <definedName name="lowercontrolxbar">'xbar '!$D$3</definedName>
    <definedName name="LSL" localSheetId="3">'Six Sigma'!$E$10</definedName>
    <definedName name="LSL">ProcessCapability!$E$10</definedName>
    <definedName name="MEAN" localSheetId="3">'Six Sigma'!$E$8</definedName>
    <definedName name="MEAN">ProcessCapability!$E$8</definedName>
    <definedName name="pbar" localSheetId="1">'xbar '!$D$5</definedName>
    <definedName name="pbar">pchart!$D$4</definedName>
    <definedName name="PROCESSSHIFT" localSheetId="3">'Six Sigma'!$E$15</definedName>
    <definedName name="PROCESSSHIFT">ProcessCapability!$E$15</definedName>
    <definedName name="rbar">'xbar '!$D$7</definedName>
    <definedName name="samplesize">'xbar '!$D$5</definedName>
    <definedName name="sforp" localSheetId="1">'xbar '!$D$6</definedName>
    <definedName name="sforp">pchart!$D$5</definedName>
    <definedName name="SIGMA" localSheetId="3">'Six Sigma'!$E$11</definedName>
    <definedName name="SIGMA">ProcessCapability!$E$11</definedName>
    <definedName name="UCL" localSheetId="1">'xbar '!$D$7</definedName>
    <definedName name="UCL">pchart!$D$6</definedName>
    <definedName name="upper1" localSheetId="1">'xbar '!$D$11</definedName>
    <definedName name="upper1">pchart!$D$10</definedName>
    <definedName name="upper2" localSheetId="1">'xbar '!$D$9</definedName>
    <definedName name="upper2">pchart!$D$8</definedName>
    <definedName name="uppercontrolRbar">'xbar '!$D$2</definedName>
    <definedName name="uppercontrolxbar">'xbar '!$D$4</definedName>
    <definedName name="USL" localSheetId="3">'Six Sigma'!$E$9</definedName>
    <definedName name="USL">ProcessCapability!$E$9</definedName>
    <definedName name="xbar">'xbar '!$D$6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6" l="1"/>
  <c r="D9" i="6"/>
  <c r="D8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D6" i="6" l="1"/>
  <c r="D7" i="6"/>
  <c r="J8" i="6"/>
  <c r="J6" i="6"/>
  <c r="J5" i="6"/>
  <c r="I13" i="1"/>
  <c r="I14" i="1"/>
  <c r="I15" i="1"/>
  <c r="I16" i="1"/>
  <c r="I17" i="1"/>
  <c r="I18" i="1"/>
  <c r="I19" i="1"/>
  <c r="H13" i="1"/>
  <c r="H14" i="1"/>
  <c r="H15" i="1"/>
  <c r="H16" i="1"/>
  <c r="G13" i="1"/>
  <c r="G14" i="1"/>
  <c r="D4" i="1"/>
  <c r="F13" i="1"/>
  <c r="F14" i="1"/>
  <c r="F15" i="1"/>
  <c r="F16" i="1"/>
  <c r="F17" i="1"/>
  <c r="F18" i="1"/>
  <c r="F19" i="1"/>
  <c r="F20" i="1"/>
  <c r="F21" i="1"/>
  <c r="F22" i="1"/>
  <c r="J4" i="1"/>
  <c r="J5" i="1"/>
  <c r="J7" i="1"/>
  <c r="K14" i="6" l="1"/>
  <c r="K18" i="6"/>
  <c r="K22" i="6"/>
  <c r="K26" i="6"/>
  <c r="K30" i="6"/>
  <c r="K34" i="6"/>
  <c r="K38" i="6"/>
  <c r="K20" i="6"/>
  <c r="K24" i="6"/>
  <c r="K32" i="6"/>
  <c r="K21" i="6"/>
  <c r="K29" i="6"/>
  <c r="K37" i="6"/>
  <c r="K15" i="6"/>
  <c r="K19" i="6"/>
  <c r="K23" i="6"/>
  <c r="K27" i="6"/>
  <c r="K31" i="6"/>
  <c r="K35" i="6"/>
  <c r="K16" i="6"/>
  <c r="K28" i="6"/>
  <c r="K36" i="6"/>
  <c r="K17" i="6"/>
  <c r="K25" i="6"/>
  <c r="K33" i="6"/>
  <c r="D4" i="6"/>
  <c r="D3" i="6"/>
  <c r="D2" i="6"/>
  <c r="D1" i="6"/>
  <c r="I22" i="1"/>
  <c r="L19" i="1"/>
  <c r="L15" i="1"/>
  <c r="L22" i="1"/>
  <c r="I21" i="1"/>
  <c r="L14" i="1"/>
  <c r="L21" i="1"/>
  <c r="L17" i="1"/>
  <c r="L13" i="1"/>
  <c r="I20" i="1"/>
  <c r="L18" i="1"/>
  <c r="L20" i="1"/>
  <c r="L16" i="1"/>
  <c r="D5" i="1"/>
  <c r="D7" i="1" s="1"/>
  <c r="K17" i="1" s="1"/>
  <c r="I19" i="5"/>
  <c r="I21" i="5" s="1"/>
  <c r="H25" i="5" s="1"/>
  <c r="E11" i="5"/>
  <c r="E17" i="5"/>
  <c r="E13" i="5"/>
  <c r="F25" i="4"/>
  <c r="F24" i="4"/>
  <c r="F23" i="4"/>
  <c r="F21" i="4"/>
  <c r="F22" i="4"/>
  <c r="F20" i="4"/>
  <c r="E21" i="4"/>
  <c r="E22" i="4"/>
  <c r="E23" i="4"/>
  <c r="E24" i="4"/>
  <c r="E25" i="4"/>
  <c r="E20" i="4"/>
  <c r="E17" i="4"/>
  <c r="E13" i="4"/>
  <c r="J14" i="6" l="1"/>
  <c r="J18" i="6"/>
  <c r="J22" i="6"/>
  <c r="J26" i="6"/>
  <c r="J30" i="6"/>
  <c r="J34" i="6"/>
  <c r="J38" i="6"/>
  <c r="J21" i="6"/>
  <c r="J33" i="6"/>
  <c r="J15" i="6"/>
  <c r="J19" i="6"/>
  <c r="J23" i="6"/>
  <c r="J27" i="6"/>
  <c r="J31" i="6"/>
  <c r="J35" i="6"/>
  <c r="J25" i="6"/>
  <c r="J16" i="6"/>
  <c r="J20" i="6"/>
  <c r="J24" i="6"/>
  <c r="J28" i="6"/>
  <c r="J32" i="6"/>
  <c r="J36" i="6"/>
  <c r="J17" i="6"/>
  <c r="J29" i="6"/>
  <c r="J37" i="6"/>
  <c r="I14" i="6"/>
  <c r="I18" i="6"/>
  <c r="I22" i="6"/>
  <c r="I26" i="6"/>
  <c r="I30" i="6"/>
  <c r="I34" i="6"/>
  <c r="I38" i="6"/>
  <c r="I17" i="6"/>
  <c r="I29" i="6"/>
  <c r="I37" i="6"/>
  <c r="I15" i="6"/>
  <c r="I19" i="6"/>
  <c r="I23" i="6"/>
  <c r="I27" i="6"/>
  <c r="I31" i="6"/>
  <c r="I35" i="6"/>
  <c r="I21" i="6"/>
  <c r="I16" i="6"/>
  <c r="I20" i="6"/>
  <c r="I24" i="6"/>
  <c r="I28" i="6"/>
  <c r="I32" i="6"/>
  <c r="I36" i="6"/>
  <c r="I25" i="6"/>
  <c r="I33" i="6"/>
  <c r="I20" i="5"/>
  <c r="K13" i="1"/>
  <c r="D9" i="1"/>
  <c r="K19" i="1"/>
  <c r="K14" i="1"/>
  <c r="D8" i="1"/>
  <c r="D11" i="1"/>
  <c r="K15" i="1"/>
  <c r="K16" i="1"/>
  <c r="D6" i="1"/>
  <c r="J15" i="1" s="1"/>
  <c r="K22" i="1"/>
  <c r="K21" i="1"/>
  <c r="K20" i="1"/>
  <c r="K18" i="1"/>
  <c r="D10" i="1"/>
  <c r="J17" i="1" l="1"/>
  <c r="J16" i="1"/>
  <c r="J18" i="1"/>
  <c r="J14" i="1"/>
  <c r="M14" i="1" s="1"/>
  <c r="J19" i="1"/>
  <c r="J13" i="1"/>
  <c r="M13" i="1" s="1"/>
  <c r="J22" i="1"/>
  <c r="J21" i="1"/>
  <c r="J20" i="1"/>
  <c r="H17" i="1"/>
  <c r="H21" i="1"/>
  <c r="G15" i="1"/>
  <c r="M15" i="1" s="1"/>
  <c r="G19" i="1"/>
  <c r="G18" i="1"/>
  <c r="H18" i="1"/>
  <c r="H22" i="1"/>
  <c r="G16" i="1"/>
  <c r="M16" i="1" s="1"/>
  <c r="G20" i="1"/>
  <c r="H19" i="1"/>
  <c r="G21" i="1"/>
  <c r="M21" i="1" s="1"/>
  <c r="G22" i="1"/>
  <c r="G17" i="1"/>
  <c r="M17" i="1" s="1"/>
  <c r="H20" i="1"/>
  <c r="M18" i="1" l="1"/>
  <c r="M20" i="1"/>
  <c r="M22" i="1"/>
  <c r="M19" i="1"/>
</calcChain>
</file>

<file path=xl/sharedStrings.xml><?xml version="1.0" encoding="utf-8"?>
<sst xmlns="http://schemas.openxmlformats.org/spreadsheetml/2006/main" count="122" uniqueCount="80">
  <si>
    <t>PROCESS HAS LOWER SPEC LIMIT LSL</t>
  </si>
  <si>
    <t>UPPER SPEC LIMIT USL</t>
  </si>
  <si>
    <t>Process Capability index</t>
  </si>
  <si>
    <t>min(</t>
  </si>
  <si>
    <t>XBAR-LSL</t>
  </si>
  <si>
    <t>-------------</t>
  </si>
  <si>
    <t>3SIGMA</t>
  </si>
  <si>
    <t>AND</t>
  </si>
  <si>
    <t>USL-XBAR</t>
  </si>
  <si>
    <t>--------------</t>
  </si>
  <si>
    <t>)</t>
  </si>
  <si>
    <t>MEAN</t>
  </si>
  <si>
    <t>USL</t>
  </si>
  <si>
    <t>LSL</t>
  </si>
  <si>
    <t>SIGMA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</si>
  <si>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pk</t>
    </r>
  </si>
  <si>
    <t>PROCESSSHIFT</t>
  </si>
  <si>
    <r>
      <t>New C</t>
    </r>
    <r>
      <rPr>
        <b/>
        <vertAlign val="subscript"/>
        <sz val="11"/>
        <color theme="1"/>
        <rFont val="Calibri"/>
        <family val="2"/>
        <scheme val="minor"/>
      </rPr>
      <t>pk</t>
    </r>
  </si>
  <si>
    <t>+-</t>
  </si>
  <si>
    <t>Design Limits(sigma)</t>
  </si>
  <si>
    <t>Fraction Defective Parts</t>
  </si>
  <si>
    <t xml:space="preserve"> Defective parts per 1000</t>
  </si>
  <si>
    <t>WHY?</t>
  </si>
  <si>
    <t>PROCESS MEAN SHIFTS 1.5*SIGMA</t>
  </si>
  <si>
    <t>MOTOROLA WANTS PROCESS CAPABILITY OF 2?</t>
  </si>
  <si>
    <t>USL and LSL 6 SIGMA FROM MEAN</t>
  </si>
  <si>
    <t>CHANCE PART IS BAD</t>
  </si>
  <si>
    <t>NEW MEAN</t>
  </si>
  <si>
    <t>MISS HIGH</t>
  </si>
  <si>
    <t>MISS LOW</t>
  </si>
  <si>
    <t>IF PROCESS SHIFTS 3.4 PER MILLION BAD</t>
  </si>
  <si>
    <t>IF PRODUCT MADE UP OF 1000 PARTS CHANCE ITS OK</t>
  </si>
  <si>
    <t>99.7% OK</t>
  </si>
  <si>
    <t>Sampling for Fraction defective</t>
  </si>
  <si>
    <t>Want expected number bad in each sample&gt;=2</t>
  </si>
  <si>
    <t>Out of Control if Outside Limits</t>
  </si>
  <si>
    <t>or</t>
  </si>
  <si>
    <t>4 of 5 more than 1 standard error from center</t>
  </si>
  <si>
    <t>2 of 3 more than 2 standard errors from center</t>
  </si>
  <si>
    <t>8 in a row on one side.</t>
  </si>
  <si>
    <t>Sample</t>
  </si>
  <si>
    <t>Number Inspected</t>
  </si>
  <si>
    <t>Defective</t>
  </si>
  <si>
    <t>Fraction Defective</t>
  </si>
  <si>
    <t>2 of 3</t>
  </si>
  <si>
    <t>4 of 5</t>
  </si>
  <si>
    <t>8  in row</t>
  </si>
  <si>
    <t>UCL</t>
  </si>
  <si>
    <t>LCL</t>
  </si>
  <si>
    <t>pbar</t>
  </si>
  <si>
    <t>sforp</t>
  </si>
  <si>
    <t>Center</t>
  </si>
  <si>
    <t>Out Of Control</t>
  </si>
  <si>
    <t>batch size</t>
  </si>
  <si>
    <t>upper2</t>
  </si>
  <si>
    <t>lower2</t>
  </si>
  <si>
    <t>upper1</t>
  </si>
  <si>
    <t>lower1</t>
  </si>
  <si>
    <t>`</t>
  </si>
  <si>
    <r>
      <t>A</t>
    </r>
    <r>
      <rPr>
        <vertAlign val="subscript"/>
        <sz val="18"/>
        <color rgb="FF000000"/>
        <rFont val="Times New Roman"/>
        <family val="1"/>
      </rPr>
      <t>2</t>
    </r>
    <r>
      <rPr>
        <sz val="18"/>
        <color rgb="FF000000"/>
        <rFont val="Times New Roman"/>
        <family val="1"/>
      </rPr>
      <t xml:space="preserve"> </t>
    </r>
  </si>
  <si>
    <r>
      <t>D</t>
    </r>
    <r>
      <rPr>
        <vertAlign val="subscript"/>
        <sz val="18"/>
        <color rgb="FF000000"/>
        <rFont val="Times New Roman"/>
        <family val="1"/>
      </rPr>
      <t>3</t>
    </r>
    <r>
      <rPr>
        <sz val="18"/>
        <color rgb="FF000000"/>
        <rFont val="Times New Roman"/>
        <family val="1"/>
      </rPr>
      <t xml:space="preserve"> </t>
    </r>
  </si>
  <si>
    <r>
      <t>D</t>
    </r>
    <r>
      <rPr>
        <vertAlign val="subscript"/>
        <sz val="18"/>
        <color rgb="FF000000"/>
        <rFont val="Times New Roman"/>
        <family val="1"/>
      </rPr>
      <t>4</t>
    </r>
    <r>
      <rPr>
        <sz val="18"/>
        <color rgb="FF000000"/>
        <rFont val="Times New Roman"/>
        <family val="1"/>
      </rPr>
      <t xml:space="preserve"> </t>
    </r>
  </si>
  <si>
    <t xml:space="preserve">Sample Size </t>
  </si>
  <si>
    <t>Sample 1</t>
  </si>
  <si>
    <t>Sample 2</t>
  </si>
  <si>
    <t>Sample 3</t>
  </si>
  <si>
    <t>Mean</t>
  </si>
  <si>
    <t>Range</t>
  </si>
  <si>
    <t>xbar</t>
  </si>
  <si>
    <t>rbar</t>
  </si>
  <si>
    <t>A2forxbar</t>
  </si>
  <si>
    <t>samplesize</t>
  </si>
  <si>
    <t>uppercontrolxbar</t>
  </si>
  <si>
    <t>lowercontrolxbar</t>
  </si>
  <si>
    <t>D4forRbar</t>
  </si>
  <si>
    <t>D3forRbar</t>
  </si>
  <si>
    <t>lowercontrolRbar</t>
  </si>
  <si>
    <t>uppercontrolRbar</t>
  </si>
  <si>
    <t>per million</t>
  </si>
  <si>
    <t>per billion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</si>
</sst>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8"/>
      <color rgb="FF000000"/>
      <name val="Times New Roman"/>
      <family val="1"/>
    </font>
    <font>
      <vertAlign val="subscript"/>
      <sz val="1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quotePrefix="1" applyFont="1"/>
    <xf numFmtId="0" fontId="1" fillId="2" borderId="0" xfId="0" applyFont="1" applyFill="1"/>
    <xf numFmtId="0" fontId="1" fillId="2" borderId="0" xfId="0" quotePrefix="1" applyFont="1" applyFill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right" vertical="center" wrapText="1"/>
    </xf>
    <xf numFmtId="0" fontId="1" fillId="0" borderId="0" xfId="0" applyNumberFormat="1" applyFont="1"/>
  </cellXfs>
  <cellStyles count="1">
    <cellStyle name="Normal" xfId="0" builtinId="0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pchart!$F$12</c:f>
              <c:strCache>
                <c:ptCount val="1"/>
                <c:pt idx="0">
                  <c:v>Fraction Defective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5CADBDF2-C567-4254-95FA-E62139EC507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2497-42CD-AEDD-927CFB9471A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ACE83C0-D559-49A1-95AB-3ED1AE5B22A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2497-42CD-AEDD-927CFB9471A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A772569-7A6D-4DDB-9562-E192DF4E981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2497-42CD-AEDD-927CFB9471A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179CED1-1FA1-4ACD-8D63-3E02FA5F845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2497-42CD-AEDD-927CFB9471A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7450141-1501-40EC-A981-692B10CA32A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2497-42CD-AEDD-927CFB9471A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C2AC371-E18C-4610-A35F-D028D65597C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2497-42CD-AEDD-927CFB9471A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BD1B036-3B0E-4666-B991-ED5BAEABB06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2497-42CD-AEDD-927CFB9471A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B7F31BD-E6E9-405F-BE45-C04FB83025C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2497-42CD-AEDD-927CFB9471A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33FBDD6-5AD1-446C-AC6C-E7FDF969A66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2497-42CD-AEDD-927CFB9471AB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A04F37F4-BC1C-4357-80D0-1080AFE9A28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2497-42CD-AEDD-927CFB9471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pchart!$C$13:$C$22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pchart!$F$13:$F$22</c:f>
              <c:numCache>
                <c:formatCode>General</c:formatCode>
                <c:ptCount val="10"/>
                <c:pt idx="0">
                  <c:v>3.3333333333333333E-2</c:v>
                </c:pt>
                <c:pt idx="1">
                  <c:v>2.6666666666666668E-2</c:v>
                </c:pt>
                <c:pt idx="2">
                  <c:v>0.03</c:v>
                </c:pt>
                <c:pt idx="3">
                  <c:v>4.3333333333333335E-2</c:v>
                </c:pt>
                <c:pt idx="4">
                  <c:v>2.3333333333333334E-2</c:v>
                </c:pt>
                <c:pt idx="5">
                  <c:v>2.3333333333333334E-2</c:v>
                </c:pt>
                <c:pt idx="6">
                  <c:v>0.02</c:v>
                </c:pt>
                <c:pt idx="7">
                  <c:v>3.6666666666666667E-2</c:v>
                </c:pt>
                <c:pt idx="8">
                  <c:v>0.04</c:v>
                </c:pt>
                <c:pt idx="9">
                  <c:v>2.6666666666666668E-2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pchart!$M$13:$M$22</c15:f>
                <c15:dlblRangeCache>
                  <c:ptCount val="10"/>
                </c15:dlblRangeCache>
              </c15:datalabelsRange>
            </c:ext>
            <c:ext xmlns:c16="http://schemas.microsoft.com/office/drawing/2014/chart" uri="{C3380CC4-5D6E-409C-BE32-E72D297353CC}">
              <c16:uniqueId val="{00000000-2497-42CD-AEDD-927CFB9471AB}"/>
            </c:ext>
          </c:extLst>
        </c:ser>
        <c:ser>
          <c:idx val="1"/>
          <c:order val="1"/>
          <c:tx>
            <c:strRef>
              <c:f>pchart!$J$12</c:f>
              <c:strCache>
                <c:ptCount val="1"/>
                <c:pt idx="0">
                  <c:v>UCL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pchart!$C$13:$C$22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pchart!$J$13:$J$22</c:f>
              <c:numCache>
                <c:formatCode>General</c:formatCode>
                <c:ptCount val="10"/>
                <c:pt idx="0">
                  <c:v>6.0038495623189053E-2</c:v>
                </c:pt>
                <c:pt idx="1">
                  <c:v>6.0038495623189053E-2</c:v>
                </c:pt>
                <c:pt idx="2">
                  <c:v>6.0038495623189053E-2</c:v>
                </c:pt>
                <c:pt idx="3">
                  <c:v>6.0038495623189053E-2</c:v>
                </c:pt>
                <c:pt idx="4">
                  <c:v>6.0038495623189053E-2</c:v>
                </c:pt>
                <c:pt idx="5">
                  <c:v>6.0038495623189053E-2</c:v>
                </c:pt>
                <c:pt idx="6">
                  <c:v>6.0038495623189053E-2</c:v>
                </c:pt>
                <c:pt idx="7">
                  <c:v>6.0038495623189053E-2</c:v>
                </c:pt>
                <c:pt idx="8">
                  <c:v>6.0038495623189053E-2</c:v>
                </c:pt>
                <c:pt idx="9">
                  <c:v>6.0038495623189053E-2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497-42CD-AEDD-927CFB9471AB}"/>
            </c:ext>
          </c:extLst>
        </c:ser>
        <c:ser>
          <c:idx val="2"/>
          <c:order val="2"/>
          <c:tx>
            <c:strRef>
              <c:f>pchart!$K$12</c:f>
              <c:strCache>
                <c:ptCount val="1"/>
                <c:pt idx="0">
                  <c:v>LCL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pchart!$C$13:$C$22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pchart!$K$13:$K$22</c:f>
              <c:numCache>
                <c:formatCode>General</c:formatCode>
                <c:ptCount val="10"/>
                <c:pt idx="0">
                  <c:v>6.2817104347761069E-4</c:v>
                </c:pt>
                <c:pt idx="1">
                  <c:v>6.2817104347761069E-4</c:v>
                </c:pt>
                <c:pt idx="2">
                  <c:v>6.2817104347761069E-4</c:v>
                </c:pt>
                <c:pt idx="3">
                  <c:v>6.2817104347761069E-4</c:v>
                </c:pt>
                <c:pt idx="4">
                  <c:v>6.2817104347761069E-4</c:v>
                </c:pt>
                <c:pt idx="5">
                  <c:v>6.2817104347761069E-4</c:v>
                </c:pt>
                <c:pt idx="6">
                  <c:v>6.2817104347761069E-4</c:v>
                </c:pt>
                <c:pt idx="7">
                  <c:v>6.2817104347761069E-4</c:v>
                </c:pt>
                <c:pt idx="8">
                  <c:v>6.2817104347761069E-4</c:v>
                </c:pt>
                <c:pt idx="9">
                  <c:v>6.2817104347761069E-4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497-42CD-AEDD-927CFB9471AB}"/>
            </c:ext>
          </c:extLst>
        </c:ser>
        <c:ser>
          <c:idx val="3"/>
          <c:order val="3"/>
          <c:tx>
            <c:strRef>
              <c:f>pchart!$L$12</c:f>
              <c:strCache>
                <c:ptCount val="1"/>
                <c:pt idx="0">
                  <c:v>Center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pchart!$C$13:$C$22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pchart!$L$13:$L$22</c:f>
              <c:numCache>
                <c:formatCode>General</c:formatCode>
                <c:ptCount val="10"/>
                <c:pt idx="0">
                  <c:v>3.0333333333333334E-2</c:v>
                </c:pt>
                <c:pt idx="1">
                  <c:v>3.0333333333333334E-2</c:v>
                </c:pt>
                <c:pt idx="2">
                  <c:v>3.0333333333333334E-2</c:v>
                </c:pt>
                <c:pt idx="3">
                  <c:v>3.0333333333333334E-2</c:v>
                </c:pt>
                <c:pt idx="4">
                  <c:v>3.0333333333333334E-2</c:v>
                </c:pt>
                <c:pt idx="5">
                  <c:v>3.0333333333333334E-2</c:v>
                </c:pt>
                <c:pt idx="6">
                  <c:v>3.0333333333333334E-2</c:v>
                </c:pt>
                <c:pt idx="7">
                  <c:v>3.0333333333333334E-2</c:v>
                </c:pt>
                <c:pt idx="8">
                  <c:v>3.0333333333333334E-2</c:v>
                </c:pt>
                <c:pt idx="9">
                  <c:v>3.0333333333333334E-2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497-42CD-AEDD-927CFB947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163680"/>
        <c:axId val="692266016"/>
      </c:scatterChart>
      <c:valAx>
        <c:axId val="687163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266016"/>
        <c:crosses val="autoZero"/>
        <c:crossBetween val="midCat"/>
      </c:valAx>
      <c:valAx>
        <c:axId val="69226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7163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'xbar '!$H$13</c:f>
              <c:strCache>
                <c:ptCount val="1"/>
                <c:pt idx="0">
                  <c:v>Range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'xbar '!$C$14:$C$38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'xbar '!$H$14:$H$38</c:f>
              <c:numCache>
                <c:formatCode>General</c:formatCode>
                <c:ptCount val="25"/>
                <c:pt idx="0">
                  <c:v>48</c:v>
                </c:pt>
                <c:pt idx="1">
                  <c:v>25</c:v>
                </c:pt>
                <c:pt idx="2">
                  <c:v>50</c:v>
                </c:pt>
                <c:pt idx="3">
                  <c:v>35</c:v>
                </c:pt>
                <c:pt idx="4">
                  <c:v>18</c:v>
                </c:pt>
                <c:pt idx="5">
                  <c:v>48</c:v>
                </c:pt>
                <c:pt idx="6">
                  <c:v>21</c:v>
                </c:pt>
                <c:pt idx="7">
                  <c:v>13</c:v>
                </c:pt>
                <c:pt idx="8">
                  <c:v>28</c:v>
                </c:pt>
                <c:pt idx="9">
                  <c:v>51</c:v>
                </c:pt>
                <c:pt idx="10">
                  <c:v>18</c:v>
                </c:pt>
                <c:pt idx="11">
                  <c:v>39</c:v>
                </c:pt>
                <c:pt idx="12">
                  <c:v>7</c:v>
                </c:pt>
                <c:pt idx="13">
                  <c:v>12</c:v>
                </c:pt>
                <c:pt idx="14">
                  <c:v>28</c:v>
                </c:pt>
                <c:pt idx="15">
                  <c:v>30</c:v>
                </c:pt>
                <c:pt idx="16">
                  <c:v>13</c:v>
                </c:pt>
                <c:pt idx="17">
                  <c:v>32</c:v>
                </c:pt>
                <c:pt idx="18">
                  <c:v>51</c:v>
                </c:pt>
                <c:pt idx="19">
                  <c:v>5</c:v>
                </c:pt>
                <c:pt idx="20">
                  <c:v>24</c:v>
                </c:pt>
                <c:pt idx="21">
                  <c:v>24</c:v>
                </c:pt>
                <c:pt idx="22">
                  <c:v>12</c:v>
                </c:pt>
                <c:pt idx="23">
                  <c:v>22</c:v>
                </c:pt>
                <c:pt idx="24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B1-4843-B09C-92B5CF56C69B}"/>
            </c:ext>
          </c:extLst>
        </c:ser>
        <c:ser>
          <c:idx val="1"/>
          <c:order val="1"/>
          <c:tx>
            <c:strRef>
              <c:f>'xbar '!$I$13</c:f>
              <c:strCache>
                <c:ptCount val="1"/>
                <c:pt idx="0">
                  <c:v>UCL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'xbar '!$C$14:$C$38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'xbar '!$I$14:$I$38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3B1-4843-B09C-92B5CF56C69B}"/>
            </c:ext>
          </c:extLst>
        </c:ser>
        <c:ser>
          <c:idx val="2"/>
          <c:order val="2"/>
          <c:tx>
            <c:strRef>
              <c:f>'xbar '!$J$13</c:f>
              <c:strCache>
                <c:ptCount val="1"/>
                <c:pt idx="0">
                  <c:v>LCL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'xbar '!$C$14:$C$38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'xbar '!$J$14:$J$38</c:f>
              <c:numCache>
                <c:formatCode>General</c:formatCode>
                <c:ptCount val="25"/>
                <c:pt idx="0">
                  <c:v>41.668639999999996</c:v>
                </c:pt>
                <c:pt idx="1">
                  <c:v>41.668639999999996</c:v>
                </c:pt>
                <c:pt idx="2">
                  <c:v>41.668639999999996</c:v>
                </c:pt>
                <c:pt idx="3">
                  <c:v>41.668639999999996</c:v>
                </c:pt>
                <c:pt idx="4">
                  <c:v>41.668639999999996</c:v>
                </c:pt>
                <c:pt idx="5">
                  <c:v>41.668639999999996</c:v>
                </c:pt>
                <c:pt idx="6">
                  <c:v>41.668639999999996</c:v>
                </c:pt>
                <c:pt idx="7">
                  <c:v>41.668639999999996</c:v>
                </c:pt>
                <c:pt idx="8">
                  <c:v>41.668639999999996</c:v>
                </c:pt>
                <c:pt idx="9">
                  <c:v>41.668639999999996</c:v>
                </c:pt>
                <c:pt idx="10">
                  <c:v>41.668639999999996</c:v>
                </c:pt>
                <c:pt idx="11">
                  <c:v>41.668639999999996</c:v>
                </c:pt>
                <c:pt idx="12">
                  <c:v>41.668639999999996</c:v>
                </c:pt>
                <c:pt idx="13">
                  <c:v>41.668639999999996</c:v>
                </c:pt>
                <c:pt idx="14">
                  <c:v>41.668639999999996</c:v>
                </c:pt>
                <c:pt idx="15">
                  <c:v>41.668639999999996</c:v>
                </c:pt>
                <c:pt idx="16">
                  <c:v>41.668639999999996</c:v>
                </c:pt>
                <c:pt idx="17">
                  <c:v>41.668639999999996</c:v>
                </c:pt>
                <c:pt idx="18">
                  <c:v>41.668639999999996</c:v>
                </c:pt>
                <c:pt idx="19">
                  <c:v>41.668639999999996</c:v>
                </c:pt>
                <c:pt idx="20">
                  <c:v>41.668639999999996</c:v>
                </c:pt>
                <c:pt idx="21">
                  <c:v>41.668639999999996</c:v>
                </c:pt>
                <c:pt idx="22">
                  <c:v>41.668639999999996</c:v>
                </c:pt>
                <c:pt idx="23">
                  <c:v>41.668639999999996</c:v>
                </c:pt>
                <c:pt idx="24">
                  <c:v>41.668639999999996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3B1-4843-B09C-92B5CF56C69B}"/>
            </c:ext>
          </c:extLst>
        </c:ser>
        <c:ser>
          <c:idx val="3"/>
          <c:order val="3"/>
          <c:tx>
            <c:strRef>
              <c:f>'xbar '!$K$13</c:f>
              <c:strCache>
                <c:ptCount val="1"/>
                <c:pt idx="0">
                  <c:v>Center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'xbar '!$C$14:$C$38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'xbar '!$K$14:$K$38</c:f>
              <c:numCache>
                <c:formatCode>General</c:formatCode>
                <c:ptCount val="25"/>
                <c:pt idx="0">
                  <c:v>27.04</c:v>
                </c:pt>
                <c:pt idx="1">
                  <c:v>27.04</c:v>
                </c:pt>
                <c:pt idx="2">
                  <c:v>27.04</c:v>
                </c:pt>
                <c:pt idx="3">
                  <c:v>27.04</c:v>
                </c:pt>
                <c:pt idx="4">
                  <c:v>27.04</c:v>
                </c:pt>
                <c:pt idx="5">
                  <c:v>27.04</c:v>
                </c:pt>
                <c:pt idx="6">
                  <c:v>27.04</c:v>
                </c:pt>
                <c:pt idx="7">
                  <c:v>27.04</c:v>
                </c:pt>
                <c:pt idx="8">
                  <c:v>27.04</c:v>
                </c:pt>
                <c:pt idx="9">
                  <c:v>27.04</c:v>
                </c:pt>
                <c:pt idx="10">
                  <c:v>27.04</c:v>
                </c:pt>
                <c:pt idx="11">
                  <c:v>27.04</c:v>
                </c:pt>
                <c:pt idx="12">
                  <c:v>27.04</c:v>
                </c:pt>
                <c:pt idx="13">
                  <c:v>27.04</c:v>
                </c:pt>
                <c:pt idx="14">
                  <c:v>27.04</c:v>
                </c:pt>
                <c:pt idx="15">
                  <c:v>27.04</c:v>
                </c:pt>
                <c:pt idx="16">
                  <c:v>27.04</c:v>
                </c:pt>
                <c:pt idx="17">
                  <c:v>27.04</c:v>
                </c:pt>
                <c:pt idx="18">
                  <c:v>27.04</c:v>
                </c:pt>
                <c:pt idx="19">
                  <c:v>27.04</c:v>
                </c:pt>
                <c:pt idx="20">
                  <c:v>27.04</c:v>
                </c:pt>
                <c:pt idx="21">
                  <c:v>27.04</c:v>
                </c:pt>
                <c:pt idx="22">
                  <c:v>27.04</c:v>
                </c:pt>
                <c:pt idx="23">
                  <c:v>27.04</c:v>
                </c:pt>
                <c:pt idx="24">
                  <c:v>27.04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3B1-4843-B09C-92B5CF56C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002104"/>
        <c:axId val="573002432"/>
      </c:scatterChart>
      <c:valAx>
        <c:axId val="573002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002432"/>
        <c:crosses val="autoZero"/>
        <c:crossBetween val="midCat"/>
      </c:valAx>
      <c:valAx>
        <c:axId val="57300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002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549275</xdr:colOff>
      <xdr:row>7</xdr:row>
      <xdr:rowOff>44450</xdr:rowOff>
    </xdr:from>
    <xdr:to>
      <xdr:col>22</xdr:col>
      <xdr:colOff>244475</xdr:colOff>
      <xdr:row>21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4ACFD57-73D1-442B-BED3-1EE7977F1E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168520</xdr:colOff>
      <xdr:row>22</xdr:row>
      <xdr:rowOff>71803</xdr:rowOff>
    </xdr:from>
    <xdr:to>
      <xdr:col>17</xdr:col>
      <xdr:colOff>495789</xdr:colOff>
      <xdr:row>36</xdr:row>
      <xdr:rowOff>79618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62E430-4634-45F8-8DAA-1904FD44B6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F07866-E0A1-4F7E-965B-B60654F799B9}" name="Table2" displayName="Table2" ref="C12:M22" totalsRowShown="0" headerRowDxfId="23" dataDxfId="22">
  <tableColumns count="11">
    <tableColumn id="1" xr3:uid="{00007099-6316-43F0-949C-D6FDC291359B}" name="Sample" dataDxfId="21"/>
    <tableColumn id="2" xr3:uid="{F5D001E4-68DB-4381-816F-86B05403E3B8}" name="Number Inspected" dataDxfId="20"/>
    <tableColumn id="3" xr3:uid="{7E3C8D21-2447-4E56-BD7D-B52CB128FFC0}" name="Defective" dataDxfId="19"/>
    <tableColumn id="4" xr3:uid="{B894204D-D45F-4DD6-84BB-6C5AC0A2A255}" name="Fraction Defective" dataDxfId="18">
      <calculatedColumnFormula>Table2[[#This Row],[Defective]]/Table2[[#This Row],[Number Inspected]]</calculatedColumnFormula>
    </tableColumn>
    <tableColumn id="5" xr3:uid="{8B037E02-3B44-459B-B17D-2971EEDE8B32}" name="2 of 3" dataDxfId="17">
      <calculatedColumnFormula>IF(Table2[[#This Row],[Sample]]&lt;3,0,IF(COUNTIF(F11:F13,"&gt;="&amp;upper2)&gt;=2,1,IF(COUNTIF(F11:F13,"&lt;="&amp;lower2)&gt;=2,1,0)))</calculatedColumnFormula>
    </tableColumn>
    <tableColumn id="6" xr3:uid="{1721DF01-9C0E-4D2B-962A-16BB7BDFA557}" name="4 of 5" dataDxfId="16">
      <calculatedColumnFormula>IF(Table2[[#This Row],[Sample]]&lt;5,0,IF(COUNTIF(F9:F13,"&gt;="&amp;upper2)&gt;=4,1,IF(COUNTIF(F9:F13,"&lt;="&amp;lower1)&gt;=4,1,0)))</calculatedColumnFormula>
    </tableColumn>
    <tableColumn id="7" xr3:uid="{307EF373-E32F-41E5-AF07-F22ADFD49268}" name="8  in row" dataDxfId="15">
      <calculatedColumnFormula>IF(Table2[[#This Row],[Sample]]&lt;8,0,IF(COUNTIF(F6:F13,"&gt;"&amp;pbar)=8,1,IF(COUNTIF(F6:F13,"&lt;"&amp;pbar)=8,1,0)))</calculatedColumnFormula>
    </tableColumn>
    <tableColumn id="8" xr3:uid="{7D4F3611-67F5-4ABE-A2C6-0AF403D68F79}" name="UCL" dataDxfId="14">
      <calculatedColumnFormula>UCL</calculatedColumnFormula>
    </tableColumn>
    <tableColumn id="9" xr3:uid="{45C7FE6A-3CBF-4780-BFCE-5709BE6C7529}" name="LCL" dataDxfId="13">
      <calculatedColumnFormula>LCL</calculatedColumnFormula>
    </tableColumn>
    <tableColumn id="10" xr3:uid="{F1F8E9C0-A62B-4733-B202-43A27D663BF0}" name="Center" dataDxfId="12">
      <calculatedColumnFormula>pbar</calculatedColumnFormula>
    </tableColumn>
    <tableColumn id="11" xr3:uid="{EE2058AB-7362-484F-A501-23C91A4A8FCE}" name="Out Of Control" dataDxfId="11">
      <calculatedColumnFormula>IF(Table2[[#This Row],[Fraction Defective]]&gt;=Table2[[#This Row],[UCL]],"x",IF(SUM(Table2[[#This Row],[2 of 3]:[8  in row]])&gt;=1,"x",""))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2D627BB-F317-40E2-95EE-50791F80770B}" name="Table24" displayName="Table24" ref="C13:K38" totalsRowShown="0" headerRowDxfId="10" dataDxfId="9">
  <tableColumns count="9">
    <tableColumn id="1" xr3:uid="{431A6DD3-C755-41A2-9B3A-F727E2872C51}" name="Sample" dataDxfId="8"/>
    <tableColumn id="2" xr3:uid="{585EEFFE-8C63-4082-A841-4EEDDBF3C1B6}" name="Sample 1" dataDxfId="7"/>
    <tableColumn id="12" xr3:uid="{893C2FCA-FEE0-4150-B179-B1440DEC5BF6}" name="Sample 2" dataDxfId="6"/>
    <tableColumn id="13" xr3:uid="{9B38AB44-C261-46CC-8C1A-0D26D48DDECB}" name="Sample 3" dataDxfId="5"/>
    <tableColumn id="16" xr3:uid="{87BAD993-00C8-46AA-A074-EACD5C77356F}" name="Mean" dataDxfId="4">
      <calculatedColumnFormula>AVERAGE(Table24[[#This Row],[Sample 1]:[Sample 3]])</calculatedColumnFormula>
    </tableColumn>
    <tableColumn id="3" xr3:uid="{9BD2260A-1316-43F4-B6AE-C4FA53DAEE09}" name="Range" dataDxfId="3">
      <calculatedColumnFormula>MAX(Table24[[#This Row],[Sample 1]:[Sample 3]])-MIN(Table24[[#This Row],[Sample 1]:[Sample 3]])</calculatedColumnFormula>
    </tableColumn>
    <tableColumn id="8" xr3:uid="{4BE73669-CA26-4CCE-9292-D9EC0BCC1539}" name="UCL" dataDxfId="2">
      <calculatedColumnFormula>uppercontrolRbar</calculatedColumnFormula>
    </tableColumn>
    <tableColumn id="9" xr3:uid="{9B7921CB-3E2B-49D2-8B5A-6C075AE0DAE5}" name="LCL" dataDxfId="1">
      <calculatedColumnFormula>lowercontrolRbar</calculatedColumnFormula>
    </tableColumn>
    <tableColumn id="10" xr3:uid="{55A8EFD0-CCCD-4BE3-88B2-99387B17B381}" name="Center" dataDxfId="0">
      <calculatedColumnFormula>rbar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02BEF-16D5-4320-8D78-B572D8786D00}">
  <dimension ref="B2:U22"/>
  <sheetViews>
    <sheetView workbookViewId="0">
      <selection activeCell="B17" sqref="B17"/>
    </sheetView>
  </sheetViews>
  <sheetFormatPr defaultRowHeight="14.5" x14ac:dyDescent="0.35"/>
  <cols>
    <col min="1" max="2" width="8.7265625" style="1"/>
    <col min="3" max="3" width="8.90625" style="1" customWidth="1"/>
    <col min="4" max="4" width="18.26953125" style="1" customWidth="1"/>
    <col min="5" max="5" width="10.6328125" style="1" customWidth="1"/>
    <col min="6" max="6" width="17.90625" style="1" customWidth="1"/>
    <col min="7" max="8" width="8.7265625" style="1"/>
    <col min="9" max="9" width="10" style="1" customWidth="1"/>
    <col min="10" max="11" width="8.7265625" style="1"/>
    <col min="12" max="12" width="16.36328125" style="1" customWidth="1"/>
    <col min="13" max="13" width="9.453125" style="1" customWidth="1"/>
    <col min="14" max="16384" width="8.7265625" style="1"/>
  </cols>
  <sheetData>
    <row r="2" spans="2:21" x14ac:dyDescent="0.35">
      <c r="B2" s="1" t="s">
        <v>33</v>
      </c>
      <c r="K2" s="1" t="s">
        <v>35</v>
      </c>
    </row>
    <row r="3" spans="2:21" x14ac:dyDescent="0.35">
      <c r="B3" s="1" t="s">
        <v>34</v>
      </c>
      <c r="K3" s="1" t="s">
        <v>36</v>
      </c>
    </row>
    <row r="4" spans="2:21" x14ac:dyDescent="0.35">
      <c r="C4" s="1" t="s">
        <v>49</v>
      </c>
      <c r="D4" s="1">
        <f>SUM(Table2[Defective])/SUM(Table2[Number Inspected])</f>
        <v>3.0333333333333334E-2</v>
      </c>
      <c r="E4" s="1" t="s">
        <v>53</v>
      </c>
      <c r="F4" s="1">
        <v>300</v>
      </c>
      <c r="J4" s="1">
        <f>2*_xlfn.BINOM.DIST.RANGE(3,0.023,2,3)</f>
        <v>3.1253319999999985E-3</v>
      </c>
      <c r="K4" s="1" t="s">
        <v>38</v>
      </c>
    </row>
    <row r="5" spans="2:21" x14ac:dyDescent="0.35">
      <c r="C5" s="1" t="s">
        <v>50</v>
      </c>
      <c r="D5" s="1">
        <f>SQRT((pbar*(1-pbar)/batch_size))</f>
        <v>9.9017207632852416E-3</v>
      </c>
      <c r="J5" s="1">
        <f>2*_xlfn.BINOM.DIST.RANGE(5,0.16,4,5)</f>
        <v>5.7147391999999974E-3</v>
      </c>
      <c r="K5" s="1" t="s">
        <v>37</v>
      </c>
      <c r="U5" s="1" t="s">
        <v>58</v>
      </c>
    </row>
    <row r="6" spans="2:21" x14ac:dyDescent="0.35">
      <c r="C6" s="1" t="s">
        <v>47</v>
      </c>
      <c r="D6" s="1">
        <f>pbar+3*sforp</f>
        <v>6.0038495623189053E-2</v>
      </c>
    </row>
    <row r="7" spans="2:21" x14ac:dyDescent="0.35">
      <c r="C7" s="1" t="s">
        <v>48</v>
      </c>
      <c r="D7" s="1">
        <f>MAX(0,pbar-3*sforp)</f>
        <v>6.2817104347761069E-4</v>
      </c>
      <c r="J7" s="1">
        <f>(1/2)^7</f>
        <v>7.8125E-3</v>
      </c>
      <c r="K7" s="1" t="s">
        <v>39</v>
      </c>
    </row>
    <row r="8" spans="2:21" x14ac:dyDescent="0.35">
      <c r="C8" s="1" t="s">
        <v>54</v>
      </c>
      <c r="D8" s="1">
        <f>pbar+2*sforp</f>
        <v>5.0136774859903817E-2</v>
      </c>
    </row>
    <row r="9" spans="2:21" x14ac:dyDescent="0.35">
      <c r="C9" s="1" t="s">
        <v>55</v>
      </c>
      <c r="D9" s="1">
        <f>MAX(0,pbar-2*sforp)</f>
        <v>1.0529891806762851E-2</v>
      </c>
    </row>
    <row r="10" spans="2:21" x14ac:dyDescent="0.35">
      <c r="C10" s="1" t="s">
        <v>56</v>
      </c>
      <c r="D10" s="1">
        <f>pbar+sforp</f>
        <v>4.0235054096618574E-2</v>
      </c>
    </row>
    <row r="11" spans="2:21" x14ac:dyDescent="0.35">
      <c r="C11" s="1" t="s">
        <v>57</v>
      </c>
      <c r="D11" s="1">
        <f>MAX(pbar-sforp,0)</f>
        <v>2.0431612570048094E-2</v>
      </c>
    </row>
    <row r="12" spans="2:21" ht="29" x14ac:dyDescent="0.35">
      <c r="C12" s="5" t="s">
        <v>40</v>
      </c>
      <c r="D12" s="5" t="s">
        <v>41</v>
      </c>
      <c r="E12" s="5" t="s">
        <v>42</v>
      </c>
      <c r="F12" s="5" t="s">
        <v>43</v>
      </c>
      <c r="G12" s="5" t="s">
        <v>44</v>
      </c>
      <c r="H12" s="5" t="s">
        <v>45</v>
      </c>
      <c r="I12" s="1" t="s">
        <v>46</v>
      </c>
      <c r="J12" s="1" t="s">
        <v>47</v>
      </c>
      <c r="K12" s="1" t="s">
        <v>48</v>
      </c>
      <c r="L12" s="1" t="s">
        <v>51</v>
      </c>
      <c r="M12" s="5" t="s">
        <v>52</v>
      </c>
    </row>
    <row r="13" spans="2:21" x14ac:dyDescent="0.35">
      <c r="C13" s="1">
        <v>1</v>
      </c>
      <c r="D13" s="1">
        <v>300</v>
      </c>
      <c r="E13" s="1">
        <v>10</v>
      </c>
      <c r="F13" s="1">
        <f>Table2[[#This Row],[Defective]]/Table2[[#This Row],[Number Inspected]]</f>
        <v>3.3333333333333333E-2</v>
      </c>
      <c r="G13" s="1">
        <f>IF(Table2[[#This Row],[Sample]]&lt;3,0,IF(COUNTIF(F11:F13,"&gt;="&amp;upper2)&gt;=2,1,IF(COUNTIF(F11:F13,"&lt;="&amp;lower2)&gt;=2,1,0)))</f>
        <v>0</v>
      </c>
      <c r="H13" s="1">
        <f>IF(Table2[[#This Row],[Sample]]&lt;5,0,IF(COUNTIF(F9:F13,"&gt;="&amp;upper2)&gt;=4,1,IF(COUNTIF(F9:F13,"&lt;="&amp;lower1)&gt;=4,1,0)))</f>
        <v>0</v>
      </c>
      <c r="I13" s="1">
        <f>IF(Table2[[#This Row],[Sample]]&lt;8,0,IF(COUNTIF(F6:F13,"&gt;"&amp;pbar)=8,1,IF(COUNTIF(F6:F13,"&lt;"&amp;pbar)=8,1,0)))</f>
        <v>0</v>
      </c>
      <c r="J13" s="1">
        <f t="shared" ref="J13:J22" si="0">UCL</f>
        <v>6.0038495623189053E-2</v>
      </c>
      <c r="K13" s="1">
        <f t="shared" ref="K13:K22" si="1">LCL</f>
        <v>6.2817104347761069E-4</v>
      </c>
      <c r="L13" s="1">
        <f t="shared" ref="L13:L22" si="2">pbar</f>
        <v>3.0333333333333334E-2</v>
      </c>
      <c r="M13" s="1" t="str">
        <f>IF(Table2[[#This Row],[Fraction Defective]]&gt;=Table2[[#This Row],[UCL]],"x",IF(SUM(Table2[[#This Row],[2 of 3]:[8  in row]])&gt;=1,"x",""))</f>
        <v/>
      </c>
    </row>
    <row r="14" spans="2:21" x14ac:dyDescent="0.35">
      <c r="C14" s="1">
        <v>2</v>
      </c>
      <c r="D14" s="1">
        <v>300</v>
      </c>
      <c r="E14" s="1">
        <v>8</v>
      </c>
      <c r="F14" s="1">
        <f>Table2[[#This Row],[Defective]]/Table2[[#This Row],[Number Inspected]]</f>
        <v>2.6666666666666668E-2</v>
      </c>
      <c r="G14" s="1">
        <f>IF(Table2[[#This Row],[Sample]]&lt;3,0,IF(COUNTIF(F12:F14,"&gt;="&amp;upper2)&gt;=2,1,IF(COUNTIF(F12:F14,"&lt;="&amp;lower2)&gt;=2,1,0)))</f>
        <v>0</v>
      </c>
      <c r="H14" s="1">
        <f>IF(Table2[[#This Row],[Sample]]&lt;5,0,IF(COUNTIF(F10:F14,"&gt;="&amp;upper2)&gt;=4,1,IF(COUNTIF(F10:F14,"&lt;="&amp;lower1)&gt;=4,1,0)))</f>
        <v>0</v>
      </c>
      <c r="I14" s="1">
        <f>IF(Table2[[#This Row],[Sample]]&lt;8,0,IF(COUNTIF(F7:F14,"&gt;"&amp;pbar)=8,1,IF(COUNTIF(F7:F14,"&lt;"&amp;pbar)=8,1,0)))</f>
        <v>0</v>
      </c>
      <c r="J14" s="1">
        <f t="shared" si="0"/>
        <v>6.0038495623189053E-2</v>
      </c>
      <c r="K14" s="1">
        <f t="shared" si="1"/>
        <v>6.2817104347761069E-4</v>
      </c>
      <c r="L14" s="1">
        <f t="shared" si="2"/>
        <v>3.0333333333333334E-2</v>
      </c>
      <c r="M14" s="1" t="str">
        <f>IF(Table2[[#This Row],[Fraction Defective]]&gt;=Table2[[#This Row],[UCL]],"x",IF(SUM(Table2[[#This Row],[2 of 3]:[8  in row]])&gt;=1,"x",""))</f>
        <v/>
      </c>
    </row>
    <row r="15" spans="2:21" x14ac:dyDescent="0.35">
      <c r="C15" s="1">
        <v>3</v>
      </c>
      <c r="D15" s="1">
        <v>300</v>
      </c>
      <c r="E15" s="1">
        <v>9</v>
      </c>
      <c r="F15" s="1">
        <f>Table2[[#This Row],[Defective]]/Table2[[#This Row],[Number Inspected]]</f>
        <v>0.03</v>
      </c>
      <c r="G15" s="1">
        <f>IF(Table2[[#This Row],[Sample]]&lt;3,0,IF(COUNTIF(F13:F15,"&gt;="&amp;upper2)&gt;=2,1,IF(COUNTIF(F13:F15,"&lt;="&amp;lower2)&gt;=2,1,0)))</f>
        <v>0</v>
      </c>
      <c r="H15" s="1">
        <f>IF(Table2[[#This Row],[Sample]]&lt;5,0,IF(COUNTIF(F11:F15,"&gt;="&amp;upper2)&gt;=4,1,IF(COUNTIF(F11:F15,"&lt;="&amp;lower1)&gt;=4,1,0)))</f>
        <v>0</v>
      </c>
      <c r="I15" s="1">
        <f>IF(Table2[[#This Row],[Sample]]&lt;8,0,IF(COUNTIF(F8:F15,"&gt;"&amp;pbar)=8,1,IF(COUNTIF(F8:F15,"&lt;"&amp;pbar)=8,1,0)))</f>
        <v>0</v>
      </c>
      <c r="J15" s="1">
        <f t="shared" si="0"/>
        <v>6.0038495623189053E-2</v>
      </c>
      <c r="K15" s="1">
        <f t="shared" si="1"/>
        <v>6.2817104347761069E-4</v>
      </c>
      <c r="L15" s="1">
        <f t="shared" si="2"/>
        <v>3.0333333333333334E-2</v>
      </c>
      <c r="M15" s="1" t="str">
        <f>IF(Table2[[#This Row],[Fraction Defective]]&gt;=Table2[[#This Row],[UCL]],"x",IF(SUM(Table2[[#This Row],[2 of 3]:[8  in row]])&gt;=1,"x",""))</f>
        <v/>
      </c>
    </row>
    <row r="16" spans="2:21" x14ac:dyDescent="0.35">
      <c r="C16" s="1">
        <v>4</v>
      </c>
      <c r="D16" s="1">
        <v>300</v>
      </c>
      <c r="E16" s="1">
        <v>13</v>
      </c>
      <c r="F16" s="1">
        <f>Table2[[#This Row],[Defective]]/Table2[[#This Row],[Number Inspected]]</f>
        <v>4.3333333333333335E-2</v>
      </c>
      <c r="G16" s="1">
        <f>IF(Table2[[#This Row],[Sample]]&lt;3,0,IF(COUNTIF(F14:F16,"&gt;="&amp;upper2)&gt;=2,1,IF(COUNTIF(F14:F16,"&lt;="&amp;lower2)&gt;=2,1,0)))</f>
        <v>0</v>
      </c>
      <c r="H16" s="1">
        <f>IF(Table2[[#This Row],[Sample]]&lt;5,0,IF(COUNTIF(F12:F16,"&gt;="&amp;upper2)&gt;=4,1,IF(COUNTIF(F12:F16,"&lt;="&amp;lower1)&gt;=4,1,0)))</f>
        <v>0</v>
      </c>
      <c r="I16" s="1">
        <f>IF(Table2[[#This Row],[Sample]]&lt;8,0,IF(COUNTIF(F9:F16,"&gt;"&amp;pbar)=8,1,IF(COUNTIF(F9:F16,"&lt;"&amp;pbar)=8,1,0)))</f>
        <v>0</v>
      </c>
      <c r="J16" s="1">
        <f t="shared" si="0"/>
        <v>6.0038495623189053E-2</v>
      </c>
      <c r="K16" s="1">
        <f t="shared" si="1"/>
        <v>6.2817104347761069E-4</v>
      </c>
      <c r="L16" s="1">
        <f t="shared" si="2"/>
        <v>3.0333333333333334E-2</v>
      </c>
      <c r="M16" s="1" t="str">
        <f>IF(Table2[[#This Row],[Fraction Defective]]&gt;=Table2[[#This Row],[UCL]],"x",IF(SUM(Table2[[#This Row],[2 of 3]:[8  in row]])&gt;=1,"x",""))</f>
        <v/>
      </c>
    </row>
    <row r="17" spans="3:13" x14ac:dyDescent="0.35">
      <c r="C17" s="1">
        <v>5</v>
      </c>
      <c r="D17" s="1">
        <v>300</v>
      </c>
      <c r="E17" s="1">
        <v>7</v>
      </c>
      <c r="F17" s="1">
        <f>Table2[[#This Row],[Defective]]/Table2[[#This Row],[Number Inspected]]</f>
        <v>2.3333333333333334E-2</v>
      </c>
      <c r="G17" s="1">
        <f>IF(Table2[[#This Row],[Sample]]&lt;3,0,IF(COUNTIF(F15:F17,"&gt;="&amp;upper2)&gt;=2,1,IF(COUNTIF(F15:F17,"&lt;="&amp;lower2)&gt;=2,1,0)))</f>
        <v>0</v>
      </c>
      <c r="H17" s="1">
        <f>IF(Table2[[#This Row],[Sample]]&lt;5,0,IF(COUNTIF(F13:F17,"&gt;="&amp;upper2)&gt;=4,1,IF(COUNTIF(F13:F17,"&lt;="&amp;lower1)&gt;=4,1,0)))</f>
        <v>0</v>
      </c>
      <c r="I17" s="1">
        <f>IF(Table2[[#This Row],[Sample]]&lt;8,0,IF(COUNTIF(F10:F17,"&gt;"&amp;pbar)=8,1,IF(COUNTIF(F10:F17,"&lt;"&amp;pbar)=8,1,0)))</f>
        <v>0</v>
      </c>
      <c r="J17" s="1">
        <f t="shared" si="0"/>
        <v>6.0038495623189053E-2</v>
      </c>
      <c r="K17" s="1">
        <f t="shared" si="1"/>
        <v>6.2817104347761069E-4</v>
      </c>
      <c r="L17" s="1">
        <f t="shared" si="2"/>
        <v>3.0333333333333334E-2</v>
      </c>
      <c r="M17" s="1" t="str">
        <f>IF(Table2[[#This Row],[Fraction Defective]]&gt;=Table2[[#This Row],[UCL]],"x",IF(SUM(Table2[[#This Row],[2 of 3]:[8  in row]])&gt;=1,"x",""))</f>
        <v/>
      </c>
    </row>
    <row r="18" spans="3:13" x14ac:dyDescent="0.35">
      <c r="C18" s="1">
        <v>6</v>
      </c>
      <c r="D18" s="1">
        <v>300</v>
      </c>
      <c r="E18" s="1">
        <v>7</v>
      </c>
      <c r="F18" s="1">
        <f>Table2[[#This Row],[Defective]]/Table2[[#This Row],[Number Inspected]]</f>
        <v>2.3333333333333334E-2</v>
      </c>
      <c r="G18" s="1">
        <f>IF(Table2[[#This Row],[Sample]]&lt;3,0,IF(COUNTIF(F16:F18,"&gt;="&amp;upper2)&gt;=2,1,IF(COUNTIF(F16:F18,"&lt;="&amp;lower2)&gt;=2,1,0)))</f>
        <v>0</v>
      </c>
      <c r="H18" s="1">
        <f>IF(Table2[[#This Row],[Sample]]&lt;5,0,IF(COUNTIF(F14:F18,"&gt;="&amp;upper2)&gt;=4,1,IF(COUNTIF(F14:F18,"&lt;="&amp;lower1)&gt;=4,1,0)))</f>
        <v>0</v>
      </c>
      <c r="I18" s="1">
        <f>IF(Table2[[#This Row],[Sample]]&lt;8,0,IF(COUNTIF(F11:F18,"&gt;"&amp;pbar)=8,1,IF(COUNTIF(F11:F18,"&lt;"&amp;pbar)=8,1,0)))</f>
        <v>0</v>
      </c>
      <c r="J18" s="1">
        <f t="shared" si="0"/>
        <v>6.0038495623189053E-2</v>
      </c>
      <c r="K18" s="1">
        <f t="shared" si="1"/>
        <v>6.2817104347761069E-4</v>
      </c>
      <c r="L18" s="1">
        <f t="shared" si="2"/>
        <v>3.0333333333333334E-2</v>
      </c>
      <c r="M18" s="1" t="str">
        <f>IF(Table2[[#This Row],[Fraction Defective]]&gt;=Table2[[#This Row],[UCL]],"x",IF(SUM(Table2[[#This Row],[2 of 3]:[8  in row]])&gt;=1,"x",""))</f>
        <v/>
      </c>
    </row>
    <row r="19" spans="3:13" x14ac:dyDescent="0.35">
      <c r="C19" s="1">
        <v>7</v>
      </c>
      <c r="D19" s="1">
        <v>300</v>
      </c>
      <c r="E19" s="1">
        <v>6</v>
      </c>
      <c r="F19" s="1">
        <f>Table2[[#This Row],[Defective]]/Table2[[#This Row],[Number Inspected]]</f>
        <v>0.02</v>
      </c>
      <c r="G19" s="1">
        <f>IF(Table2[[#This Row],[Sample]]&lt;3,0,IF(COUNTIF(F17:F19,"&gt;="&amp;upper2)&gt;=2,1,IF(COUNTIF(F17:F19,"&lt;="&amp;lower2)&gt;=2,1,0)))</f>
        <v>0</v>
      </c>
      <c r="H19" s="1">
        <f>IF(Table2[[#This Row],[Sample]]&lt;5,0,IF(COUNTIF(F15:F19,"&gt;="&amp;upper2)&gt;=4,1,IF(COUNTIF(F15:F19,"&lt;="&amp;lower1)&gt;=4,1,0)))</f>
        <v>0</v>
      </c>
      <c r="I19" s="1">
        <f>IF(Table2[[#This Row],[Sample]]&lt;8,0,IF(COUNTIF(F12:F19,"&gt;"&amp;pbar)=8,1,IF(COUNTIF(F12:F19,"&lt;"&amp;pbar)=8,1,0)))</f>
        <v>0</v>
      </c>
      <c r="J19" s="1">
        <f t="shared" si="0"/>
        <v>6.0038495623189053E-2</v>
      </c>
      <c r="K19" s="1">
        <f t="shared" si="1"/>
        <v>6.2817104347761069E-4</v>
      </c>
      <c r="L19" s="1">
        <f t="shared" si="2"/>
        <v>3.0333333333333334E-2</v>
      </c>
      <c r="M19" s="1" t="str">
        <f>IF(Table2[[#This Row],[Fraction Defective]]&gt;=Table2[[#This Row],[UCL]],"x",IF(SUM(Table2[[#This Row],[2 of 3]:[8  in row]])&gt;=1,"x",""))</f>
        <v/>
      </c>
    </row>
    <row r="20" spans="3:13" x14ac:dyDescent="0.35">
      <c r="C20" s="1">
        <v>8</v>
      </c>
      <c r="D20" s="1">
        <v>300</v>
      </c>
      <c r="E20" s="1">
        <v>11</v>
      </c>
      <c r="F20" s="1">
        <f>Table2[[#This Row],[Defective]]/Table2[[#This Row],[Number Inspected]]</f>
        <v>3.6666666666666667E-2</v>
      </c>
      <c r="G20" s="1">
        <f>IF(Table2[[#This Row],[Sample]]&lt;3,0,IF(COUNTIF(F18:F20,"&gt;="&amp;upper2)&gt;=2,1,IF(COUNTIF(F18:F20,"&lt;="&amp;lower2)&gt;=2,1,0)))</f>
        <v>0</v>
      </c>
      <c r="H20" s="1">
        <f>IF(Table2[[#This Row],[Sample]]&lt;5,0,IF(COUNTIF(F16:F20,"&gt;="&amp;upper2)&gt;=4,1,IF(COUNTIF(F16:F20,"&lt;="&amp;lower1)&gt;=4,1,0)))</f>
        <v>0</v>
      </c>
      <c r="I20" s="1">
        <f>IF(Table2[[#This Row],[Sample]]&lt;8,0,IF(COUNTIF(F13:F20,"&gt;"&amp;pbar)=8,1,IF(COUNTIF(F13:F20,"&lt;"&amp;pbar)=8,1,0)))</f>
        <v>0</v>
      </c>
      <c r="J20" s="1">
        <f t="shared" si="0"/>
        <v>6.0038495623189053E-2</v>
      </c>
      <c r="K20" s="1">
        <f t="shared" si="1"/>
        <v>6.2817104347761069E-4</v>
      </c>
      <c r="L20" s="1">
        <f t="shared" si="2"/>
        <v>3.0333333333333334E-2</v>
      </c>
      <c r="M20" s="1" t="str">
        <f>IF(Table2[[#This Row],[Fraction Defective]]&gt;=Table2[[#This Row],[UCL]],"x",IF(SUM(Table2[[#This Row],[2 of 3]:[8  in row]])&gt;=1,"x",""))</f>
        <v/>
      </c>
    </row>
    <row r="21" spans="3:13" x14ac:dyDescent="0.35">
      <c r="C21" s="1">
        <v>9</v>
      </c>
      <c r="D21" s="1">
        <v>300</v>
      </c>
      <c r="E21" s="1">
        <v>12</v>
      </c>
      <c r="F21" s="1">
        <f>Table2[[#This Row],[Defective]]/Table2[[#This Row],[Number Inspected]]</f>
        <v>0.04</v>
      </c>
      <c r="G21" s="1">
        <f>IF(Table2[[#This Row],[Sample]]&lt;3,0,IF(COUNTIF(F19:F21,"&gt;="&amp;upper2)&gt;=2,1,IF(COUNTIF(F19:F21,"&lt;="&amp;lower2)&gt;=2,1,0)))</f>
        <v>0</v>
      </c>
      <c r="H21" s="1">
        <f>IF(Table2[[#This Row],[Sample]]&lt;5,0,IF(COUNTIF(F17:F21,"&gt;="&amp;upper2)&gt;=4,1,IF(COUNTIF(F17:F21,"&lt;="&amp;lower1)&gt;=4,1,0)))</f>
        <v>0</v>
      </c>
      <c r="I21" s="1">
        <f>IF(Table2[[#This Row],[Sample]]&lt;8,0,IF(COUNTIF(F14:F21,"&gt;"&amp;pbar)=8,1,IF(COUNTIF(F14:F21,"&lt;"&amp;pbar)=8,1,0)))</f>
        <v>0</v>
      </c>
      <c r="J21" s="1">
        <f t="shared" si="0"/>
        <v>6.0038495623189053E-2</v>
      </c>
      <c r="K21" s="1">
        <f t="shared" si="1"/>
        <v>6.2817104347761069E-4</v>
      </c>
      <c r="L21" s="1">
        <f t="shared" si="2"/>
        <v>3.0333333333333334E-2</v>
      </c>
      <c r="M21" s="1" t="str">
        <f>IF(Table2[[#This Row],[Fraction Defective]]&gt;=Table2[[#This Row],[UCL]],"x",IF(SUM(Table2[[#This Row],[2 of 3]:[8  in row]])&gt;=1,"x",""))</f>
        <v/>
      </c>
    </row>
    <row r="22" spans="3:13" x14ac:dyDescent="0.35">
      <c r="C22" s="1">
        <v>10</v>
      </c>
      <c r="D22" s="1">
        <v>300</v>
      </c>
      <c r="E22" s="1">
        <v>8</v>
      </c>
      <c r="F22" s="1">
        <f>Table2[[#This Row],[Defective]]/Table2[[#This Row],[Number Inspected]]</f>
        <v>2.6666666666666668E-2</v>
      </c>
      <c r="G22" s="1">
        <f>IF(Table2[[#This Row],[Sample]]&lt;3,0,IF(COUNTIF(F20:F22,"&gt;="&amp;upper2)&gt;=2,1,IF(COUNTIF(F20:F22,"&lt;="&amp;lower2)&gt;=2,1,0)))</f>
        <v>0</v>
      </c>
      <c r="H22" s="1">
        <f>IF(Table2[[#This Row],[Sample]]&lt;5,0,IF(COUNTIF(F18:F22,"&gt;="&amp;upper2)&gt;=4,1,IF(COUNTIF(F18:F22,"&lt;="&amp;lower1)&gt;=4,1,0)))</f>
        <v>0</v>
      </c>
      <c r="I22" s="1">
        <f>IF(Table2[[#This Row],[Sample]]&lt;8,0,IF(COUNTIF(F15:F22,"&gt;"&amp;pbar)=8,1,IF(COUNTIF(F15:F22,"&lt;"&amp;pbar)=8,1,0)))</f>
        <v>0</v>
      </c>
      <c r="J22" s="1">
        <f t="shared" si="0"/>
        <v>6.0038495623189053E-2</v>
      </c>
      <c r="K22" s="1">
        <f t="shared" si="1"/>
        <v>6.2817104347761069E-4</v>
      </c>
      <c r="L22" s="1">
        <f t="shared" si="2"/>
        <v>3.0333333333333334E-2</v>
      </c>
      <c r="M22" s="1" t="str">
        <f>IF(Table2[[#This Row],[Fraction Defective]]&gt;=Table2[[#This Row],[UCL]],"x",IF(SUM(Table2[[#This Row],[2 of 3]:[8  in row]])&gt;=1,"x",""))</f>
        <v/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C1C6F-5701-47C7-9C98-61A32CD45042}">
  <dimension ref="C1:U38"/>
  <sheetViews>
    <sheetView topLeftCell="N1" zoomScale="130" zoomScaleNormal="130" workbookViewId="0">
      <selection activeCell="R7" sqref="R7"/>
    </sheetView>
  </sheetViews>
  <sheetFormatPr defaultRowHeight="14.5" x14ac:dyDescent="0.35"/>
  <cols>
    <col min="1" max="2" width="8.7265625" style="1"/>
    <col min="3" max="3" width="17.6328125" style="1" customWidth="1"/>
    <col min="4" max="4" width="18.26953125" style="1" customWidth="1"/>
    <col min="5" max="5" width="10.6328125" style="1" customWidth="1"/>
    <col min="6" max="6" width="17.90625" style="1" customWidth="1"/>
    <col min="7" max="8" width="8.7265625" style="1"/>
    <col min="9" max="9" width="10" style="1" customWidth="1"/>
    <col min="10" max="11" width="8.7265625" style="1"/>
    <col min="12" max="12" width="16.36328125" style="1" customWidth="1"/>
    <col min="13" max="13" width="9.453125" style="1" customWidth="1"/>
    <col min="14" max="16384" width="8.7265625" style="1"/>
  </cols>
  <sheetData>
    <row r="1" spans="3:21" x14ac:dyDescent="0.35">
      <c r="C1" s="1" t="s">
        <v>76</v>
      </c>
      <c r="D1" s="1">
        <f>D3forRbar*rbar</f>
        <v>41.668639999999996</v>
      </c>
    </row>
    <row r="2" spans="3:21" x14ac:dyDescent="0.35">
      <c r="C2" s="1" t="s">
        <v>77</v>
      </c>
      <c r="D2" s="1">
        <f>D4forRbar*rbar</f>
        <v>0</v>
      </c>
    </row>
    <row r="3" spans="3:21" x14ac:dyDescent="0.35">
      <c r="C3" s="1" t="s">
        <v>73</v>
      </c>
      <c r="D3" s="1">
        <f>MAX(0,xbar-A2forxbar*rbar)</f>
        <v>48.973333333333329</v>
      </c>
      <c r="K3" s="1" t="s">
        <v>35</v>
      </c>
    </row>
    <row r="4" spans="3:21" ht="15" thickBot="1" x14ac:dyDescent="0.4">
      <c r="C4" s="1" t="s">
        <v>72</v>
      </c>
      <c r="D4" s="1">
        <f>xbar+A2forxbar*rbar</f>
        <v>48.973333333333329</v>
      </c>
      <c r="K4" s="1" t="s">
        <v>36</v>
      </c>
    </row>
    <row r="5" spans="3:21" ht="31.5" thickBot="1" x14ac:dyDescent="0.4">
      <c r="C5" s="1" t="s">
        <v>71</v>
      </c>
      <c r="D5" s="1">
        <v>3</v>
      </c>
      <c r="F5" s="1">
        <v>300</v>
      </c>
      <c r="J5" s="1">
        <f>2*_xlfn.BINOM.DIST.RANGE(3,0.023,2,3)</f>
        <v>3.1253319999999985E-3</v>
      </c>
      <c r="K5" s="1" t="s">
        <v>38</v>
      </c>
      <c r="R5" s="6" t="s">
        <v>62</v>
      </c>
      <c r="S5" s="7" t="s">
        <v>59</v>
      </c>
      <c r="T5" s="7" t="s">
        <v>60</v>
      </c>
      <c r="U5" s="7" t="s">
        <v>61</v>
      </c>
    </row>
    <row r="6" spans="3:21" ht="16" thickBot="1" x14ac:dyDescent="0.4">
      <c r="C6" s="1" t="s">
        <v>68</v>
      </c>
      <c r="D6" s="1">
        <f>AVERAGE(Table24[Mean])</f>
        <v>48.973333333333329</v>
      </c>
      <c r="J6" s="1">
        <f>2*_xlfn.BINOM.DIST.RANGE(5,0.16,4,5)</f>
        <v>5.7147391999999974E-3</v>
      </c>
      <c r="K6" s="1" t="s">
        <v>37</v>
      </c>
      <c r="R6" s="8">
        <v>2</v>
      </c>
      <c r="S6" s="9">
        <v>1.88</v>
      </c>
      <c r="T6" s="9">
        <v>0</v>
      </c>
      <c r="U6" s="9">
        <v>3.2669999999999999</v>
      </c>
    </row>
    <row r="7" spans="3:21" ht="16" thickBot="1" x14ac:dyDescent="0.4">
      <c r="C7" s="1" t="s">
        <v>69</v>
      </c>
      <c r="D7" s="1">
        <f>AVERAGE(Table24[Range])</f>
        <v>27.04</v>
      </c>
      <c r="R7" s="8">
        <v>3</v>
      </c>
      <c r="S7" s="9">
        <v>1.0229999999999999</v>
      </c>
      <c r="T7" s="9">
        <v>0</v>
      </c>
      <c r="U7" s="9">
        <v>2.5739999999999998</v>
      </c>
    </row>
    <row r="8" spans="3:21" ht="16" thickBot="1" x14ac:dyDescent="0.4">
      <c r="C8" s="1" t="s">
        <v>70</v>
      </c>
      <c r="D8" s="1">
        <f>VLOOKUP(samplesize,$U$6:$X$29,2)</f>
        <v>0</v>
      </c>
      <c r="J8" s="1">
        <f>(1/2)^7</f>
        <v>7.8125E-3</v>
      </c>
      <c r="K8" s="1" t="s">
        <v>39</v>
      </c>
      <c r="R8" s="8">
        <v>4</v>
      </c>
      <c r="S8" s="9">
        <v>0.72899999999999998</v>
      </c>
      <c r="T8" s="9">
        <v>0</v>
      </c>
      <c r="U8" s="9">
        <v>2.282</v>
      </c>
    </row>
    <row r="9" spans="3:21" ht="16" thickBot="1" x14ac:dyDescent="0.4">
      <c r="C9" s="1" t="s">
        <v>74</v>
      </c>
      <c r="D9" s="1">
        <f>VLOOKUP(samplesize,$R$6:$U$29,4)</f>
        <v>0</v>
      </c>
      <c r="R9" s="8">
        <v>5</v>
      </c>
      <c r="S9" s="9">
        <v>0.57699999999999996</v>
      </c>
      <c r="T9" s="9">
        <v>0</v>
      </c>
      <c r="U9" s="9">
        <v>2.1139999999999999</v>
      </c>
    </row>
    <row r="10" spans="3:21" ht="16" thickBot="1" x14ac:dyDescent="0.4">
      <c r="C10" s="1" t="s">
        <v>75</v>
      </c>
      <c r="D10" s="1">
        <f>VLOOKUP(samplesize,R6:U29,3)</f>
        <v>1.5409999999999999</v>
      </c>
      <c r="R10" s="8">
        <v>6</v>
      </c>
      <c r="S10" s="9">
        <v>0.48299999999999998</v>
      </c>
      <c r="T10" s="9">
        <v>0</v>
      </c>
      <c r="U10" s="9">
        <v>2.004</v>
      </c>
    </row>
    <row r="11" spans="3:21" ht="16" thickBot="1" x14ac:dyDescent="0.4">
      <c r="R11" s="8">
        <v>7</v>
      </c>
      <c r="S11" s="9">
        <v>0.41899999999999998</v>
      </c>
      <c r="T11" s="9">
        <v>7.5999999999999998E-2</v>
      </c>
      <c r="U11" s="9">
        <v>1.9239999999999999</v>
      </c>
    </row>
    <row r="12" spans="3:21" ht="16" thickBot="1" x14ac:dyDescent="0.4">
      <c r="R12" s="8">
        <v>8</v>
      </c>
      <c r="S12" s="9">
        <v>0.373</v>
      </c>
      <c r="T12" s="9">
        <v>0.13600000000000001</v>
      </c>
      <c r="U12" s="9">
        <v>1.8640000000000001</v>
      </c>
    </row>
    <row r="13" spans="3:21" ht="16" thickBot="1" x14ac:dyDescent="0.4">
      <c r="C13" s="5" t="s">
        <v>40</v>
      </c>
      <c r="D13" s="5" t="s">
        <v>63</v>
      </c>
      <c r="E13" s="5" t="s">
        <v>64</v>
      </c>
      <c r="F13" s="5" t="s">
        <v>65</v>
      </c>
      <c r="G13" s="5" t="s">
        <v>66</v>
      </c>
      <c r="H13" s="5" t="s">
        <v>67</v>
      </c>
      <c r="I13" s="1" t="s">
        <v>47</v>
      </c>
      <c r="J13" s="1" t="s">
        <v>48</v>
      </c>
      <c r="K13" s="1" t="s">
        <v>51</v>
      </c>
      <c r="Q13" s="8">
        <v>9</v>
      </c>
      <c r="R13" s="9">
        <v>0.33700000000000002</v>
      </c>
      <c r="S13" s="9">
        <v>0.184</v>
      </c>
      <c r="T13" s="9">
        <v>1.8160000000000001</v>
      </c>
    </row>
    <row r="14" spans="3:21" ht="16" thickBot="1" x14ac:dyDescent="0.4">
      <c r="C14" s="1">
        <v>1</v>
      </c>
      <c r="D14" s="1">
        <v>41</v>
      </c>
      <c r="E14" s="1">
        <v>70</v>
      </c>
      <c r="F14" s="1">
        <v>22</v>
      </c>
      <c r="G14" s="1">
        <f>AVERAGE(Table24[[#This Row],[Sample 1]:[Sample 3]])</f>
        <v>44.333333333333336</v>
      </c>
      <c r="H14" s="1">
        <f>MAX(Table24[[#This Row],[Sample 1]:[Sample 3]])-MIN(Table24[[#This Row],[Sample 1]:[Sample 3]])</f>
        <v>48</v>
      </c>
      <c r="I14" s="1">
        <f t="shared" ref="I14:I38" si="0">uppercontrolRbar</f>
        <v>0</v>
      </c>
      <c r="J14" s="1">
        <f t="shared" ref="J14:J38" si="1">lowercontrolRbar</f>
        <v>41.668639999999996</v>
      </c>
      <c r="K14" s="1">
        <f t="shared" ref="K14:K38" si="2">rbar</f>
        <v>27.04</v>
      </c>
      <c r="Q14" s="8">
        <v>10</v>
      </c>
      <c r="R14" s="9">
        <v>0.308</v>
      </c>
      <c r="S14" s="9">
        <v>0.223</v>
      </c>
      <c r="T14" s="9">
        <v>1.7769999999999999</v>
      </c>
    </row>
    <row r="15" spans="3:21" ht="16" thickBot="1" x14ac:dyDescent="0.4">
      <c r="C15" s="1">
        <v>2</v>
      </c>
      <c r="D15" s="1">
        <v>78</v>
      </c>
      <c r="E15" s="1">
        <v>53</v>
      </c>
      <c r="F15" s="1">
        <v>68</v>
      </c>
      <c r="G15" s="1">
        <f>AVERAGE(Table24[[#This Row],[Sample 1]:[Sample 3]])</f>
        <v>66.333333333333329</v>
      </c>
      <c r="H15" s="1">
        <f>MAX(Table24[[#This Row],[Sample 1]:[Sample 3]])-MIN(Table24[[#This Row],[Sample 1]:[Sample 3]])</f>
        <v>25</v>
      </c>
      <c r="I15" s="1">
        <f t="shared" si="0"/>
        <v>0</v>
      </c>
      <c r="J15" s="1">
        <f t="shared" si="1"/>
        <v>41.668639999999996</v>
      </c>
      <c r="K15" s="1">
        <f t="shared" si="2"/>
        <v>27.04</v>
      </c>
      <c r="Q15" s="8">
        <v>11</v>
      </c>
      <c r="R15" s="9">
        <v>0.28499999999999998</v>
      </c>
      <c r="S15" s="9">
        <v>0.25600000000000001</v>
      </c>
      <c r="T15" s="9">
        <v>1.744</v>
      </c>
    </row>
    <row r="16" spans="3:21" ht="16" thickBot="1" x14ac:dyDescent="0.4">
      <c r="C16" s="1">
        <v>3</v>
      </c>
      <c r="D16" s="1">
        <v>84</v>
      </c>
      <c r="E16" s="1">
        <v>34</v>
      </c>
      <c r="F16" s="1">
        <v>48</v>
      </c>
      <c r="G16" s="1">
        <f>AVERAGE(Table24[[#This Row],[Sample 1]:[Sample 3]])</f>
        <v>55.333333333333336</v>
      </c>
      <c r="H16" s="1">
        <f>MAX(Table24[[#This Row],[Sample 1]:[Sample 3]])-MIN(Table24[[#This Row],[Sample 1]:[Sample 3]])</f>
        <v>50</v>
      </c>
      <c r="I16" s="1">
        <f t="shared" si="0"/>
        <v>0</v>
      </c>
      <c r="J16" s="1">
        <f t="shared" si="1"/>
        <v>41.668639999999996</v>
      </c>
      <c r="K16" s="1">
        <f t="shared" si="2"/>
        <v>27.04</v>
      </c>
      <c r="Q16" s="8">
        <v>12</v>
      </c>
      <c r="R16" s="9">
        <v>0.26600000000000001</v>
      </c>
      <c r="S16" s="9">
        <v>0.28299999999999997</v>
      </c>
      <c r="T16" s="9">
        <v>1.7170000000000001</v>
      </c>
    </row>
    <row r="17" spans="3:20" ht="16" thickBot="1" x14ac:dyDescent="0.4">
      <c r="C17" s="1">
        <v>4</v>
      </c>
      <c r="D17" s="1">
        <v>60</v>
      </c>
      <c r="E17" s="1">
        <v>36</v>
      </c>
      <c r="F17" s="1">
        <v>25</v>
      </c>
      <c r="G17" s="1">
        <f>AVERAGE(Table24[[#This Row],[Sample 1]:[Sample 3]])</f>
        <v>40.333333333333336</v>
      </c>
      <c r="H17" s="1">
        <f>MAX(Table24[[#This Row],[Sample 1]:[Sample 3]])-MIN(Table24[[#This Row],[Sample 1]:[Sample 3]])</f>
        <v>35</v>
      </c>
      <c r="I17" s="1">
        <f t="shared" si="0"/>
        <v>0</v>
      </c>
      <c r="J17" s="1">
        <f t="shared" si="1"/>
        <v>41.668639999999996</v>
      </c>
      <c r="K17" s="1">
        <f t="shared" si="2"/>
        <v>27.04</v>
      </c>
      <c r="Q17" s="8">
        <v>13</v>
      </c>
      <c r="R17" s="9">
        <v>0.249</v>
      </c>
      <c r="S17" s="9">
        <v>0.307</v>
      </c>
      <c r="T17" s="9">
        <v>1.6930000000000001</v>
      </c>
    </row>
    <row r="18" spans="3:20" ht="16" thickBot="1" x14ac:dyDescent="0.4">
      <c r="C18" s="1">
        <v>5</v>
      </c>
      <c r="D18" s="1">
        <v>46</v>
      </c>
      <c r="E18" s="1">
        <v>47</v>
      </c>
      <c r="F18" s="1">
        <v>29</v>
      </c>
      <c r="G18" s="1">
        <f>AVERAGE(Table24[[#This Row],[Sample 1]:[Sample 3]])</f>
        <v>40.666666666666664</v>
      </c>
      <c r="H18" s="1">
        <f>MAX(Table24[[#This Row],[Sample 1]:[Sample 3]])-MIN(Table24[[#This Row],[Sample 1]:[Sample 3]])</f>
        <v>18</v>
      </c>
      <c r="I18" s="1">
        <f t="shared" si="0"/>
        <v>0</v>
      </c>
      <c r="J18" s="1">
        <f t="shared" si="1"/>
        <v>41.668639999999996</v>
      </c>
      <c r="K18" s="1">
        <f t="shared" si="2"/>
        <v>27.04</v>
      </c>
      <c r="Q18" s="8">
        <v>14</v>
      </c>
      <c r="R18" s="9">
        <v>0.23499999999999999</v>
      </c>
      <c r="S18" s="9">
        <v>0.32800000000000001</v>
      </c>
      <c r="T18" s="9">
        <v>1.6719999999999999</v>
      </c>
    </row>
    <row r="19" spans="3:20" ht="16" thickBot="1" x14ac:dyDescent="0.4">
      <c r="C19" s="1">
        <v>6</v>
      </c>
      <c r="D19" s="1">
        <v>64</v>
      </c>
      <c r="E19" s="1">
        <v>16</v>
      </c>
      <c r="F19" s="1">
        <v>56</v>
      </c>
      <c r="G19" s="1">
        <f>AVERAGE(Table24[[#This Row],[Sample 1]:[Sample 3]])</f>
        <v>45.333333333333336</v>
      </c>
      <c r="H19" s="1">
        <f>MAX(Table24[[#This Row],[Sample 1]:[Sample 3]])-MIN(Table24[[#This Row],[Sample 1]:[Sample 3]])</f>
        <v>48</v>
      </c>
      <c r="I19" s="1">
        <f t="shared" si="0"/>
        <v>0</v>
      </c>
      <c r="J19" s="1">
        <f t="shared" si="1"/>
        <v>41.668639999999996</v>
      </c>
      <c r="K19" s="1">
        <f t="shared" si="2"/>
        <v>27.04</v>
      </c>
      <c r="Q19" s="8">
        <v>15</v>
      </c>
      <c r="R19" s="9">
        <v>0.223</v>
      </c>
      <c r="S19" s="9">
        <v>0.34699999999999998</v>
      </c>
      <c r="T19" s="9">
        <v>1.653</v>
      </c>
    </row>
    <row r="20" spans="3:20" ht="16" thickBot="1" x14ac:dyDescent="0.4">
      <c r="C20" s="1">
        <v>7</v>
      </c>
      <c r="D20" s="1">
        <v>43</v>
      </c>
      <c r="E20" s="1">
        <v>53</v>
      </c>
      <c r="F20" s="1">
        <v>64</v>
      </c>
      <c r="G20" s="1">
        <f>AVERAGE(Table24[[#This Row],[Sample 1]:[Sample 3]])</f>
        <v>53.333333333333336</v>
      </c>
      <c r="H20" s="1">
        <f>MAX(Table24[[#This Row],[Sample 1]:[Sample 3]])-MIN(Table24[[#This Row],[Sample 1]:[Sample 3]])</f>
        <v>21</v>
      </c>
      <c r="I20" s="1">
        <f t="shared" si="0"/>
        <v>0</v>
      </c>
      <c r="J20" s="1">
        <f t="shared" si="1"/>
        <v>41.668639999999996</v>
      </c>
      <c r="K20" s="1">
        <f t="shared" si="2"/>
        <v>27.04</v>
      </c>
      <c r="Q20" s="8">
        <v>16</v>
      </c>
      <c r="R20" s="9">
        <v>0.21199999999999999</v>
      </c>
      <c r="S20" s="9">
        <v>0.36299999999999999</v>
      </c>
      <c r="T20" s="9">
        <v>1.637</v>
      </c>
    </row>
    <row r="21" spans="3:20" ht="16" thickBot="1" x14ac:dyDescent="0.4">
      <c r="C21" s="1">
        <v>8</v>
      </c>
      <c r="D21" s="1">
        <v>37</v>
      </c>
      <c r="E21" s="1">
        <v>43</v>
      </c>
      <c r="F21" s="1">
        <v>30</v>
      </c>
      <c r="G21" s="1">
        <f>AVERAGE(Table24[[#This Row],[Sample 1]:[Sample 3]])</f>
        <v>36.666666666666664</v>
      </c>
      <c r="H21" s="1">
        <f>MAX(Table24[[#This Row],[Sample 1]:[Sample 3]])-MIN(Table24[[#This Row],[Sample 1]:[Sample 3]])</f>
        <v>13</v>
      </c>
      <c r="I21" s="1">
        <f t="shared" si="0"/>
        <v>0</v>
      </c>
      <c r="J21" s="1">
        <f t="shared" si="1"/>
        <v>41.668639999999996</v>
      </c>
      <c r="K21" s="1">
        <f t="shared" si="2"/>
        <v>27.04</v>
      </c>
      <c r="Q21" s="8">
        <v>17</v>
      </c>
      <c r="R21" s="9">
        <v>0.20300000000000001</v>
      </c>
      <c r="S21" s="9">
        <v>0.378</v>
      </c>
      <c r="T21" s="9">
        <v>1.6220000000000001</v>
      </c>
    </row>
    <row r="22" spans="3:20" ht="16" thickBot="1" x14ac:dyDescent="0.4">
      <c r="C22" s="1">
        <v>9</v>
      </c>
      <c r="D22" s="1">
        <v>50</v>
      </c>
      <c r="E22" s="1">
        <v>29</v>
      </c>
      <c r="F22" s="1">
        <v>57</v>
      </c>
      <c r="G22" s="1">
        <f>AVERAGE(Table24[[#This Row],[Sample 1]:[Sample 3]])</f>
        <v>45.333333333333336</v>
      </c>
      <c r="H22" s="1">
        <f>MAX(Table24[[#This Row],[Sample 1]:[Sample 3]])-MIN(Table24[[#This Row],[Sample 1]:[Sample 3]])</f>
        <v>28</v>
      </c>
      <c r="I22" s="1">
        <f t="shared" si="0"/>
        <v>0</v>
      </c>
      <c r="J22" s="1">
        <f t="shared" si="1"/>
        <v>41.668639999999996</v>
      </c>
      <c r="K22" s="1">
        <f t="shared" si="2"/>
        <v>27.04</v>
      </c>
      <c r="Q22" s="8">
        <v>18</v>
      </c>
      <c r="R22" s="9">
        <v>0.19400000000000001</v>
      </c>
      <c r="S22" s="9">
        <v>0.39100000000000001</v>
      </c>
      <c r="T22" s="9">
        <v>1.6080000000000001</v>
      </c>
    </row>
    <row r="23" spans="3:20" ht="16" thickBot="1" x14ac:dyDescent="0.4">
      <c r="C23" s="1">
        <v>10</v>
      </c>
      <c r="D23" s="1">
        <v>57</v>
      </c>
      <c r="E23" s="1">
        <v>83</v>
      </c>
      <c r="F23" s="1">
        <v>32</v>
      </c>
      <c r="G23" s="1">
        <f>AVERAGE(Table24[[#This Row],[Sample 1]:[Sample 3]])</f>
        <v>57.333333333333336</v>
      </c>
      <c r="H23" s="1">
        <f>MAX(Table24[[#This Row],[Sample 1]:[Sample 3]])-MIN(Table24[[#This Row],[Sample 1]:[Sample 3]])</f>
        <v>51</v>
      </c>
      <c r="I23" s="1">
        <f t="shared" si="0"/>
        <v>0</v>
      </c>
      <c r="J23" s="1">
        <f t="shared" si="1"/>
        <v>41.668639999999996</v>
      </c>
      <c r="K23" s="1">
        <f t="shared" si="2"/>
        <v>27.04</v>
      </c>
      <c r="Q23" s="8">
        <v>19</v>
      </c>
      <c r="R23" s="9">
        <v>0.187</v>
      </c>
      <c r="S23" s="9">
        <v>0.40300000000000002</v>
      </c>
      <c r="T23" s="9">
        <v>1.597</v>
      </c>
    </row>
    <row r="24" spans="3:20" ht="16" thickBot="1" x14ac:dyDescent="0.4">
      <c r="C24" s="1">
        <v>11</v>
      </c>
      <c r="D24" s="1">
        <v>24</v>
      </c>
      <c r="E24" s="1">
        <v>42</v>
      </c>
      <c r="F24" s="1">
        <v>39</v>
      </c>
      <c r="G24" s="1">
        <f>AVERAGE(Table24[[#This Row],[Sample 1]:[Sample 3]])</f>
        <v>35</v>
      </c>
      <c r="H24" s="1">
        <f>MAX(Table24[[#This Row],[Sample 1]:[Sample 3]])-MIN(Table24[[#This Row],[Sample 1]:[Sample 3]])</f>
        <v>18</v>
      </c>
      <c r="I24" s="10">
        <f t="shared" si="0"/>
        <v>0</v>
      </c>
      <c r="J24" s="10">
        <f t="shared" si="1"/>
        <v>41.668639999999996</v>
      </c>
      <c r="K24" s="10">
        <f t="shared" si="2"/>
        <v>27.04</v>
      </c>
      <c r="Q24" s="8">
        <v>20</v>
      </c>
      <c r="R24" s="9">
        <v>0.18</v>
      </c>
      <c r="S24" s="9">
        <v>0.41499999999999998</v>
      </c>
      <c r="T24" s="9">
        <v>1.585</v>
      </c>
    </row>
    <row r="25" spans="3:20" ht="16" thickBot="1" x14ac:dyDescent="0.4">
      <c r="C25" s="1">
        <v>12</v>
      </c>
      <c r="D25" s="1">
        <v>78</v>
      </c>
      <c r="E25" s="1">
        <v>48</v>
      </c>
      <c r="F25" s="1">
        <v>39</v>
      </c>
      <c r="G25" s="1">
        <f>AVERAGE(Table24[[#This Row],[Sample 1]:[Sample 3]])</f>
        <v>55</v>
      </c>
      <c r="H25" s="1">
        <f>MAX(Table24[[#This Row],[Sample 1]:[Sample 3]])-MIN(Table24[[#This Row],[Sample 1]:[Sample 3]])</f>
        <v>39</v>
      </c>
      <c r="I25" s="10">
        <f t="shared" si="0"/>
        <v>0</v>
      </c>
      <c r="J25" s="10">
        <f t="shared" si="1"/>
        <v>41.668639999999996</v>
      </c>
      <c r="K25" s="10">
        <f t="shared" si="2"/>
        <v>27.04</v>
      </c>
      <c r="Q25" s="8">
        <v>21</v>
      </c>
      <c r="R25" s="9">
        <v>0.17299999999999999</v>
      </c>
      <c r="S25" s="9">
        <v>0.42499999999999999</v>
      </c>
      <c r="T25" s="9">
        <v>1.575</v>
      </c>
    </row>
    <row r="26" spans="3:20" ht="16" thickBot="1" x14ac:dyDescent="0.4">
      <c r="C26" s="1">
        <v>13</v>
      </c>
      <c r="D26" s="1">
        <v>51</v>
      </c>
      <c r="E26" s="1">
        <v>57</v>
      </c>
      <c r="F26" s="1">
        <v>50</v>
      </c>
      <c r="G26" s="1">
        <f>AVERAGE(Table24[[#This Row],[Sample 1]:[Sample 3]])</f>
        <v>52.666666666666664</v>
      </c>
      <c r="H26" s="1">
        <f>MAX(Table24[[#This Row],[Sample 1]:[Sample 3]])-MIN(Table24[[#This Row],[Sample 1]:[Sample 3]])</f>
        <v>7</v>
      </c>
      <c r="I26" s="10">
        <f t="shared" si="0"/>
        <v>0</v>
      </c>
      <c r="J26" s="10">
        <f t="shared" si="1"/>
        <v>41.668639999999996</v>
      </c>
      <c r="K26" s="10">
        <f t="shared" si="2"/>
        <v>27.04</v>
      </c>
      <c r="Q26" s="8">
        <v>22</v>
      </c>
      <c r="R26" s="9">
        <v>0.16700000000000001</v>
      </c>
      <c r="S26" s="9">
        <v>0.434</v>
      </c>
      <c r="T26" s="9">
        <v>1.5660000000000001</v>
      </c>
    </row>
    <row r="27" spans="3:20" ht="16" thickBot="1" x14ac:dyDescent="0.4">
      <c r="C27" s="1">
        <v>14</v>
      </c>
      <c r="D27" s="1">
        <v>41</v>
      </c>
      <c r="E27" s="1">
        <v>29</v>
      </c>
      <c r="F27" s="1">
        <v>35</v>
      </c>
      <c r="G27" s="1">
        <f>AVERAGE(Table24[[#This Row],[Sample 1]:[Sample 3]])</f>
        <v>35</v>
      </c>
      <c r="H27" s="1">
        <f>MAX(Table24[[#This Row],[Sample 1]:[Sample 3]])-MIN(Table24[[#This Row],[Sample 1]:[Sample 3]])</f>
        <v>12</v>
      </c>
      <c r="I27" s="10">
        <f t="shared" si="0"/>
        <v>0</v>
      </c>
      <c r="J27" s="10">
        <f t="shared" si="1"/>
        <v>41.668639999999996</v>
      </c>
      <c r="K27" s="10">
        <f t="shared" si="2"/>
        <v>27.04</v>
      </c>
      <c r="Q27" s="8">
        <v>23</v>
      </c>
      <c r="R27" s="9">
        <v>0.16200000000000001</v>
      </c>
      <c r="S27" s="9">
        <v>0.443</v>
      </c>
      <c r="T27" s="9">
        <v>1.5569999999999999</v>
      </c>
    </row>
    <row r="28" spans="3:20" ht="16" thickBot="1" x14ac:dyDescent="0.4">
      <c r="C28" s="1">
        <v>15</v>
      </c>
      <c r="D28" s="1">
        <v>56</v>
      </c>
      <c r="E28" s="1">
        <v>64</v>
      </c>
      <c r="F28" s="1">
        <v>36</v>
      </c>
      <c r="G28" s="1">
        <f>AVERAGE(Table24[[#This Row],[Sample 1]:[Sample 3]])</f>
        <v>52</v>
      </c>
      <c r="H28" s="1">
        <f>MAX(Table24[[#This Row],[Sample 1]:[Sample 3]])-MIN(Table24[[#This Row],[Sample 1]:[Sample 3]])</f>
        <v>28</v>
      </c>
      <c r="I28" s="10">
        <f t="shared" si="0"/>
        <v>0</v>
      </c>
      <c r="J28" s="10">
        <f t="shared" si="1"/>
        <v>41.668639999999996</v>
      </c>
      <c r="K28" s="10">
        <f t="shared" si="2"/>
        <v>27.04</v>
      </c>
      <c r="Q28" s="8">
        <v>24</v>
      </c>
      <c r="R28" s="9">
        <v>0.157</v>
      </c>
      <c r="S28" s="9">
        <v>0.45100000000000001</v>
      </c>
      <c r="T28" s="9">
        <v>1.548</v>
      </c>
    </row>
    <row r="29" spans="3:20" ht="16" thickBot="1" x14ac:dyDescent="0.4">
      <c r="C29" s="1">
        <v>16</v>
      </c>
      <c r="D29" s="1">
        <v>46</v>
      </c>
      <c r="E29" s="1">
        <v>41</v>
      </c>
      <c r="F29" s="1">
        <v>16</v>
      </c>
      <c r="G29" s="1">
        <f>AVERAGE(Table24[[#This Row],[Sample 1]:[Sample 3]])</f>
        <v>34.333333333333336</v>
      </c>
      <c r="H29" s="1">
        <f>MAX(Table24[[#This Row],[Sample 1]:[Sample 3]])-MIN(Table24[[#This Row],[Sample 1]:[Sample 3]])</f>
        <v>30</v>
      </c>
      <c r="I29" s="10">
        <f t="shared" si="0"/>
        <v>0</v>
      </c>
      <c r="J29" s="10">
        <f t="shared" si="1"/>
        <v>41.668639999999996</v>
      </c>
      <c r="K29" s="10">
        <f t="shared" si="2"/>
        <v>27.04</v>
      </c>
      <c r="Q29" s="8">
        <v>25</v>
      </c>
      <c r="R29" s="9">
        <v>0.153</v>
      </c>
      <c r="S29" s="9">
        <v>0.45900000000000002</v>
      </c>
      <c r="T29" s="9">
        <v>1.5409999999999999</v>
      </c>
    </row>
    <row r="30" spans="3:20" x14ac:dyDescent="0.35">
      <c r="C30" s="1">
        <v>17</v>
      </c>
      <c r="D30" s="1">
        <v>99</v>
      </c>
      <c r="E30" s="1">
        <v>86</v>
      </c>
      <c r="F30" s="1">
        <v>98</v>
      </c>
      <c r="G30" s="1">
        <f>AVERAGE(Table24[[#This Row],[Sample 1]:[Sample 3]])</f>
        <v>94.333333333333329</v>
      </c>
      <c r="H30" s="1">
        <f>MAX(Table24[[#This Row],[Sample 1]:[Sample 3]])-MIN(Table24[[#This Row],[Sample 1]:[Sample 3]])</f>
        <v>13</v>
      </c>
      <c r="I30" s="10">
        <f t="shared" si="0"/>
        <v>0</v>
      </c>
      <c r="J30" s="10">
        <f t="shared" si="1"/>
        <v>41.668639999999996</v>
      </c>
      <c r="K30" s="10">
        <f t="shared" si="2"/>
        <v>27.04</v>
      </c>
    </row>
    <row r="31" spans="3:20" x14ac:dyDescent="0.35">
      <c r="C31" s="1">
        <v>18</v>
      </c>
      <c r="D31" s="1">
        <v>71</v>
      </c>
      <c r="E31" s="1">
        <v>54</v>
      </c>
      <c r="F31" s="1">
        <v>39</v>
      </c>
      <c r="G31" s="1">
        <f>AVERAGE(Table24[[#This Row],[Sample 1]:[Sample 3]])</f>
        <v>54.666666666666664</v>
      </c>
      <c r="H31" s="1">
        <f>MAX(Table24[[#This Row],[Sample 1]:[Sample 3]])-MIN(Table24[[#This Row],[Sample 1]:[Sample 3]])</f>
        <v>32</v>
      </c>
      <c r="I31" s="10">
        <f t="shared" si="0"/>
        <v>0</v>
      </c>
      <c r="J31" s="10">
        <f t="shared" si="1"/>
        <v>41.668639999999996</v>
      </c>
      <c r="K31" s="10">
        <f t="shared" si="2"/>
        <v>27.04</v>
      </c>
    </row>
    <row r="32" spans="3:20" x14ac:dyDescent="0.35">
      <c r="C32" s="1">
        <v>19</v>
      </c>
      <c r="D32" s="1">
        <v>41</v>
      </c>
      <c r="E32" s="1">
        <v>2</v>
      </c>
      <c r="F32" s="1">
        <v>53</v>
      </c>
      <c r="G32" s="1">
        <f>AVERAGE(Table24[[#This Row],[Sample 1]:[Sample 3]])</f>
        <v>32</v>
      </c>
      <c r="H32" s="1">
        <f>MAX(Table24[[#This Row],[Sample 1]:[Sample 3]])-MIN(Table24[[#This Row],[Sample 1]:[Sample 3]])</f>
        <v>51</v>
      </c>
      <c r="I32" s="10">
        <f t="shared" si="0"/>
        <v>0</v>
      </c>
      <c r="J32" s="10">
        <f t="shared" si="1"/>
        <v>41.668639999999996</v>
      </c>
      <c r="K32" s="10">
        <f t="shared" si="2"/>
        <v>27.04</v>
      </c>
    </row>
    <row r="33" spans="3:11" x14ac:dyDescent="0.35">
      <c r="C33" s="1">
        <v>20</v>
      </c>
      <c r="D33" s="1">
        <v>41</v>
      </c>
      <c r="E33" s="1">
        <v>39</v>
      </c>
      <c r="F33" s="1">
        <v>36</v>
      </c>
      <c r="G33" s="1">
        <f>AVERAGE(Table24[[#This Row],[Sample 1]:[Sample 3]])</f>
        <v>38.666666666666664</v>
      </c>
      <c r="H33" s="1">
        <f>MAX(Table24[[#This Row],[Sample 1]:[Sample 3]])-MIN(Table24[[#This Row],[Sample 1]:[Sample 3]])</f>
        <v>5</v>
      </c>
      <c r="I33" s="10">
        <f t="shared" si="0"/>
        <v>0</v>
      </c>
      <c r="J33" s="10">
        <f t="shared" si="1"/>
        <v>41.668639999999996</v>
      </c>
      <c r="K33" s="10">
        <f t="shared" si="2"/>
        <v>27.04</v>
      </c>
    </row>
    <row r="34" spans="3:11" x14ac:dyDescent="0.35">
      <c r="C34" s="1">
        <v>21</v>
      </c>
      <c r="D34" s="1">
        <v>22</v>
      </c>
      <c r="E34" s="1">
        <v>40</v>
      </c>
      <c r="F34" s="1">
        <v>46</v>
      </c>
      <c r="G34" s="1">
        <f>AVERAGE(Table24[[#This Row],[Sample 1]:[Sample 3]])</f>
        <v>36</v>
      </c>
      <c r="H34" s="1">
        <f>MAX(Table24[[#This Row],[Sample 1]:[Sample 3]])-MIN(Table24[[#This Row],[Sample 1]:[Sample 3]])</f>
        <v>24</v>
      </c>
      <c r="I34" s="10">
        <f t="shared" si="0"/>
        <v>0</v>
      </c>
      <c r="J34" s="10">
        <f t="shared" si="1"/>
        <v>41.668639999999996</v>
      </c>
      <c r="K34" s="10">
        <f t="shared" si="2"/>
        <v>27.04</v>
      </c>
    </row>
    <row r="35" spans="3:11" x14ac:dyDescent="0.35">
      <c r="C35" s="1">
        <v>22</v>
      </c>
      <c r="D35" s="1">
        <v>62</v>
      </c>
      <c r="E35" s="1">
        <v>70</v>
      </c>
      <c r="F35" s="1">
        <v>46</v>
      </c>
      <c r="G35" s="1">
        <f>AVERAGE(Table24[[#This Row],[Sample 1]:[Sample 3]])</f>
        <v>59.333333333333336</v>
      </c>
      <c r="H35" s="1">
        <f>MAX(Table24[[#This Row],[Sample 1]:[Sample 3]])-MIN(Table24[[#This Row],[Sample 1]:[Sample 3]])</f>
        <v>24</v>
      </c>
      <c r="I35" s="10">
        <f t="shared" si="0"/>
        <v>0</v>
      </c>
      <c r="J35" s="10">
        <f t="shared" si="1"/>
        <v>41.668639999999996</v>
      </c>
      <c r="K35" s="10">
        <f t="shared" si="2"/>
        <v>27.04</v>
      </c>
    </row>
    <row r="36" spans="3:11" x14ac:dyDescent="0.35">
      <c r="C36" s="1">
        <v>23</v>
      </c>
      <c r="D36" s="1">
        <v>64</v>
      </c>
      <c r="E36" s="1">
        <v>52</v>
      </c>
      <c r="F36" s="1">
        <v>57</v>
      </c>
      <c r="G36" s="1">
        <f>AVERAGE(Table24[[#This Row],[Sample 1]:[Sample 3]])</f>
        <v>57.666666666666664</v>
      </c>
      <c r="H36" s="1">
        <f>MAX(Table24[[#This Row],[Sample 1]:[Sample 3]])-MIN(Table24[[#This Row],[Sample 1]:[Sample 3]])</f>
        <v>12</v>
      </c>
      <c r="I36" s="10">
        <f t="shared" si="0"/>
        <v>0</v>
      </c>
      <c r="J36" s="10">
        <f t="shared" si="1"/>
        <v>41.668639999999996</v>
      </c>
      <c r="K36" s="10">
        <f t="shared" si="2"/>
        <v>27.04</v>
      </c>
    </row>
    <row r="37" spans="3:11" x14ac:dyDescent="0.35">
      <c r="C37" s="1">
        <v>24</v>
      </c>
      <c r="D37" s="1">
        <v>44</v>
      </c>
      <c r="E37" s="1">
        <v>38</v>
      </c>
      <c r="F37" s="1">
        <v>60</v>
      </c>
      <c r="G37" s="1">
        <f>AVERAGE(Table24[[#This Row],[Sample 1]:[Sample 3]])</f>
        <v>47.333333333333336</v>
      </c>
      <c r="H37" s="1">
        <f>MAX(Table24[[#This Row],[Sample 1]:[Sample 3]])-MIN(Table24[[#This Row],[Sample 1]:[Sample 3]])</f>
        <v>22</v>
      </c>
      <c r="I37" s="10">
        <f t="shared" si="0"/>
        <v>0</v>
      </c>
      <c r="J37" s="10">
        <f t="shared" si="1"/>
        <v>41.668639999999996</v>
      </c>
      <c r="K37" s="10">
        <f t="shared" si="2"/>
        <v>27.04</v>
      </c>
    </row>
    <row r="38" spans="3:11" x14ac:dyDescent="0.35">
      <c r="C38" s="1">
        <v>25</v>
      </c>
      <c r="D38" s="1">
        <v>41</v>
      </c>
      <c r="E38" s="1">
        <v>63</v>
      </c>
      <c r="F38" s="1">
        <v>62</v>
      </c>
      <c r="G38" s="1">
        <f>AVERAGE(Table24[[#This Row],[Sample 1]:[Sample 3]])</f>
        <v>55.333333333333336</v>
      </c>
      <c r="H38" s="1">
        <f>MAX(Table24[[#This Row],[Sample 1]:[Sample 3]])-MIN(Table24[[#This Row],[Sample 1]:[Sample 3]])</f>
        <v>22</v>
      </c>
      <c r="I38" s="10">
        <f t="shared" si="0"/>
        <v>0</v>
      </c>
      <c r="J38" s="10">
        <f t="shared" si="1"/>
        <v>41.668639999999996</v>
      </c>
      <c r="K38" s="10">
        <f t="shared" si="2"/>
        <v>27.04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D07DA-AB92-41CC-A437-D62A39D0FDA9}">
  <dimension ref="B1:I25"/>
  <sheetViews>
    <sheetView topLeftCell="A6" workbookViewId="0">
      <selection activeCell="H15" sqref="H15"/>
    </sheetView>
  </sheetViews>
  <sheetFormatPr defaultRowHeight="14.5" x14ac:dyDescent="0.35"/>
  <cols>
    <col min="1" max="3" width="8.7265625" style="1"/>
    <col min="4" max="4" width="14.26953125" style="1" customWidth="1"/>
    <col min="5" max="5" width="21.81640625" style="1" customWidth="1"/>
    <col min="6" max="16384" width="8.7265625" style="1"/>
  </cols>
  <sheetData>
    <row r="1" spans="2:9" x14ac:dyDescent="0.35">
      <c r="B1" s="1" t="s">
        <v>0</v>
      </c>
    </row>
    <row r="2" spans="2:9" x14ac:dyDescent="0.35">
      <c r="B2" s="1" t="s">
        <v>1</v>
      </c>
    </row>
    <row r="4" spans="2:9" x14ac:dyDescent="0.35">
      <c r="B4" s="3" t="s">
        <v>2</v>
      </c>
      <c r="C4" s="3"/>
      <c r="D4" s="3"/>
      <c r="E4" s="3"/>
      <c r="F4" s="3" t="s">
        <v>4</v>
      </c>
      <c r="G4" s="3"/>
      <c r="H4" s="3" t="s">
        <v>8</v>
      </c>
      <c r="I4" s="3"/>
    </row>
    <row r="5" spans="2:9" ht="16.5" x14ac:dyDescent="0.45">
      <c r="B5" s="3" t="s">
        <v>15</v>
      </c>
      <c r="C5" s="3"/>
      <c r="D5" s="3"/>
      <c r="E5" s="3" t="s">
        <v>3</v>
      </c>
      <c r="F5" s="4" t="s">
        <v>5</v>
      </c>
      <c r="G5" s="3" t="s">
        <v>7</v>
      </c>
      <c r="H5" s="4" t="s">
        <v>9</v>
      </c>
      <c r="I5" s="3" t="s">
        <v>10</v>
      </c>
    </row>
    <row r="6" spans="2:9" x14ac:dyDescent="0.35">
      <c r="B6" s="3"/>
      <c r="C6" s="3"/>
      <c r="D6" s="3"/>
      <c r="E6" s="3"/>
      <c r="F6" s="3" t="s">
        <v>6</v>
      </c>
      <c r="G6" s="3"/>
      <c r="H6" s="3" t="s">
        <v>6</v>
      </c>
      <c r="I6" s="3"/>
    </row>
    <row r="8" spans="2:9" x14ac:dyDescent="0.35">
      <c r="D8" s="1" t="s">
        <v>11</v>
      </c>
      <c r="E8" s="1">
        <v>1</v>
      </c>
    </row>
    <row r="9" spans="2:9" x14ac:dyDescent="0.35">
      <c r="D9" s="1" t="s">
        <v>12</v>
      </c>
      <c r="E9" s="1">
        <v>1.006</v>
      </c>
    </row>
    <row r="10" spans="2:9" x14ac:dyDescent="0.35">
      <c r="D10" s="1" t="s">
        <v>13</v>
      </c>
      <c r="E10" s="1">
        <v>0.99399999999999999</v>
      </c>
    </row>
    <row r="11" spans="2:9" x14ac:dyDescent="0.35">
      <c r="D11" s="1" t="s">
        <v>14</v>
      </c>
      <c r="E11" s="1">
        <v>1E-3</v>
      </c>
    </row>
    <row r="13" spans="2:9" ht="16.5" x14ac:dyDescent="0.45">
      <c r="D13" s="1" t="s">
        <v>15</v>
      </c>
      <c r="E13" s="1">
        <f>MIN((USL-MEAN)/(3*SIGMA),(MEAN-LSL)/(3*SIGMA))</f>
        <v>2.0000000000000018</v>
      </c>
    </row>
    <row r="14" spans="2:9" x14ac:dyDescent="0.35">
      <c r="H14" s="1" t="s">
        <v>24</v>
      </c>
    </row>
    <row r="15" spans="2:9" x14ac:dyDescent="0.35">
      <c r="D15" s="1" t="s">
        <v>16</v>
      </c>
      <c r="E15" s="1">
        <v>1.5</v>
      </c>
      <c r="H15" s="1" t="s">
        <v>22</v>
      </c>
    </row>
    <row r="16" spans="2:9" x14ac:dyDescent="0.35">
      <c r="H16" s="1" t="s">
        <v>23</v>
      </c>
    </row>
    <row r="17" spans="3:7" ht="16.5" x14ac:dyDescent="0.45">
      <c r="D17" s="1" t="s">
        <v>17</v>
      </c>
      <c r="E17" s="1">
        <f>MIN((USL-(MEAN+PROCESSSHIFT*SIGMA))/(3*SIGMA),(MEAN+PROCESSSHIFT*SIGMA-LSL)/(3*SIGMA))</f>
        <v>1.4999999999999829</v>
      </c>
    </row>
    <row r="19" spans="3:7" ht="58" x14ac:dyDescent="0.35">
      <c r="D19" s="5" t="s">
        <v>19</v>
      </c>
      <c r="E19" s="5" t="s">
        <v>20</v>
      </c>
      <c r="F19" s="5" t="s">
        <v>21</v>
      </c>
    </row>
    <row r="20" spans="3:7" x14ac:dyDescent="0.35">
      <c r="C20" s="2" t="s">
        <v>18</v>
      </c>
      <c r="D20" s="1">
        <v>1</v>
      </c>
      <c r="E20" s="1">
        <f>2*(1-_xlfn.NORM.S.DIST(D20,TRUE))</f>
        <v>0.31731050786291393</v>
      </c>
      <c r="F20" s="1">
        <f>ROUND(1000*E20,0)</f>
        <v>317</v>
      </c>
    </row>
    <row r="21" spans="3:7" x14ac:dyDescent="0.35">
      <c r="C21" s="2" t="s">
        <v>18</v>
      </c>
      <c r="D21" s="1">
        <v>2</v>
      </c>
      <c r="E21" s="1">
        <f t="shared" ref="E21:E25" si="0">2*(1-_xlfn.NORM.S.DIST(D21,TRUE))</f>
        <v>4.5500263896358417E-2</v>
      </c>
      <c r="F21" s="1">
        <f t="shared" ref="F21:F22" si="1">ROUND(1000*E21,0)</f>
        <v>46</v>
      </c>
    </row>
    <row r="22" spans="3:7" x14ac:dyDescent="0.35">
      <c r="C22" s="2" t="s">
        <v>18</v>
      </c>
      <c r="D22" s="1">
        <v>3</v>
      </c>
      <c r="E22" s="1">
        <f t="shared" si="0"/>
        <v>2.6997960632602069E-3</v>
      </c>
      <c r="F22" s="1">
        <f t="shared" si="1"/>
        <v>3</v>
      </c>
    </row>
    <row r="23" spans="3:7" x14ac:dyDescent="0.35">
      <c r="C23" s="2" t="s">
        <v>18</v>
      </c>
      <c r="D23" s="1">
        <v>4</v>
      </c>
      <c r="E23" s="1">
        <f t="shared" si="0"/>
        <v>6.3342483666239957E-5</v>
      </c>
      <c r="F23" s="1">
        <f>ROUND(1000000*E23,0)</f>
        <v>63</v>
      </c>
      <c r="G23" s="1" t="s">
        <v>78</v>
      </c>
    </row>
    <row r="24" spans="3:7" x14ac:dyDescent="0.35">
      <c r="C24" s="2" t="s">
        <v>18</v>
      </c>
      <c r="D24" s="1">
        <v>5</v>
      </c>
      <c r="E24" s="1">
        <f t="shared" si="0"/>
        <v>5.7330314384707037E-7</v>
      </c>
      <c r="F24" s="1">
        <f>ROUND(1000000000*E24,0)</f>
        <v>573</v>
      </c>
      <c r="G24" s="1" t="s">
        <v>79</v>
      </c>
    </row>
    <row r="25" spans="3:7" x14ac:dyDescent="0.35">
      <c r="C25" s="2" t="s">
        <v>18</v>
      </c>
      <c r="D25" s="1">
        <v>6</v>
      </c>
      <c r="E25" s="1">
        <f t="shared" si="0"/>
        <v>1.9731754008489588E-9</v>
      </c>
      <c r="F25" s="1">
        <f>ROUND(1000000000*E25,0)</f>
        <v>2</v>
      </c>
      <c r="G25" s="1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817F3-AFE1-4849-9AE3-3069EA4E8AE3}">
  <dimension ref="B1:I26"/>
  <sheetViews>
    <sheetView tabSelected="1" topLeftCell="A4" workbookViewId="0">
      <selection activeCell="D4" sqref="D4"/>
    </sheetView>
  </sheetViews>
  <sheetFormatPr defaultRowHeight="14.5" x14ac:dyDescent="0.35"/>
  <cols>
    <col min="1" max="3" width="8.7265625" style="1"/>
    <col min="4" max="4" width="14.26953125" style="1" customWidth="1"/>
    <col min="5" max="5" width="21.81640625" style="1" customWidth="1"/>
    <col min="6" max="7" width="8.7265625" style="1"/>
    <col min="8" max="8" width="10.26953125" style="1" customWidth="1"/>
    <col min="9" max="9" width="11.81640625" style="1" bestFit="1" customWidth="1"/>
    <col min="10" max="16384" width="8.7265625" style="1"/>
  </cols>
  <sheetData>
    <row r="1" spans="2:9" x14ac:dyDescent="0.35">
      <c r="B1" s="1" t="s">
        <v>0</v>
      </c>
    </row>
    <row r="2" spans="2:9" x14ac:dyDescent="0.35">
      <c r="B2" s="1" t="s">
        <v>1</v>
      </c>
    </row>
    <row r="4" spans="2:9" x14ac:dyDescent="0.35">
      <c r="B4" s="3" t="s">
        <v>2</v>
      </c>
      <c r="C4" s="3"/>
      <c r="D4" s="3"/>
      <c r="E4" s="3"/>
      <c r="F4" s="3" t="s">
        <v>4</v>
      </c>
      <c r="G4" s="3"/>
      <c r="H4" s="3" t="s">
        <v>8</v>
      </c>
      <c r="I4" s="3"/>
    </row>
    <row r="5" spans="2:9" ht="16.5" x14ac:dyDescent="0.45">
      <c r="B5" s="3" t="s">
        <v>15</v>
      </c>
      <c r="C5" s="3"/>
      <c r="D5" s="3"/>
      <c r="E5" s="3" t="s">
        <v>3</v>
      </c>
      <c r="F5" s="4" t="s">
        <v>5</v>
      </c>
      <c r="G5" s="3" t="s">
        <v>7</v>
      </c>
      <c r="H5" s="4" t="s">
        <v>9</v>
      </c>
      <c r="I5" s="3" t="s">
        <v>10</v>
      </c>
    </row>
    <row r="6" spans="2:9" x14ac:dyDescent="0.35">
      <c r="B6" s="3"/>
      <c r="C6" s="3"/>
      <c r="D6" s="3"/>
      <c r="E6" s="3"/>
      <c r="F6" s="3" t="s">
        <v>6</v>
      </c>
      <c r="G6" s="3"/>
      <c r="H6" s="3" t="s">
        <v>6</v>
      </c>
      <c r="I6" s="3"/>
    </row>
    <row r="8" spans="2:9" x14ac:dyDescent="0.35">
      <c r="D8" s="1" t="s">
        <v>11</v>
      </c>
      <c r="E8" s="1">
        <v>1</v>
      </c>
    </row>
    <row r="9" spans="2:9" x14ac:dyDescent="0.35">
      <c r="D9" s="1" t="s">
        <v>12</v>
      </c>
      <c r="E9" s="1">
        <v>1.006</v>
      </c>
    </row>
    <row r="10" spans="2:9" x14ac:dyDescent="0.35">
      <c r="D10" s="1" t="s">
        <v>13</v>
      </c>
      <c r="E10" s="1">
        <v>0.99399999999999999</v>
      </c>
    </row>
    <row r="11" spans="2:9" x14ac:dyDescent="0.35">
      <c r="D11" s="1" t="s">
        <v>14</v>
      </c>
      <c r="E11" s="1">
        <f>0.006/6</f>
        <v>1E-3</v>
      </c>
    </row>
    <row r="13" spans="2:9" ht="16.5" x14ac:dyDescent="0.45">
      <c r="D13" s="1" t="s">
        <v>15</v>
      </c>
      <c r="E13" s="1">
        <f>MIN((USL-MEAN)/(3*SIGMA),(MEAN-LSL)/(3*SIGMA))</f>
        <v>2.0000000000000018</v>
      </c>
      <c r="H13" s="1" t="s">
        <v>25</v>
      </c>
    </row>
    <row r="14" spans="2:9" x14ac:dyDescent="0.35">
      <c r="H14" s="1" t="s">
        <v>24</v>
      </c>
    </row>
    <row r="15" spans="2:9" x14ac:dyDescent="0.35">
      <c r="D15" s="1" t="s">
        <v>16</v>
      </c>
      <c r="E15" s="1">
        <v>1.5</v>
      </c>
      <c r="H15" s="1" t="s">
        <v>22</v>
      </c>
    </row>
    <row r="16" spans="2:9" x14ac:dyDescent="0.35">
      <c r="H16" s="1" t="s">
        <v>23</v>
      </c>
    </row>
    <row r="17" spans="3:9" ht="16.5" x14ac:dyDescent="0.45">
      <c r="D17" s="1" t="s">
        <v>17</v>
      </c>
      <c r="E17" s="1">
        <f>MIN((USL-(MEAN+PROCESSSHIFT*SIGMA))/(3*SIGMA),(MEAN+PROCESSSHIFT*SIGMA-LSL)/(3*SIGMA))</f>
        <v>1.4999999999999829</v>
      </c>
    </row>
    <row r="18" spans="3:9" x14ac:dyDescent="0.35">
      <c r="H18" s="1" t="s">
        <v>26</v>
      </c>
    </row>
    <row r="19" spans="3:9" x14ac:dyDescent="0.35">
      <c r="D19" s="5"/>
      <c r="E19" s="5"/>
      <c r="F19" s="5"/>
      <c r="H19" s="1" t="s">
        <v>27</v>
      </c>
      <c r="I19" s="1">
        <f>MEAN+1.5*SIGMA</f>
        <v>1.0015000000000001</v>
      </c>
    </row>
    <row r="20" spans="3:9" x14ac:dyDescent="0.35">
      <c r="C20" s="2"/>
      <c r="H20" s="1" t="s">
        <v>29</v>
      </c>
      <c r="I20" s="1">
        <f>_xlfn.NORM.DIST(LSL,I19,SIGMA,TRUE)</f>
        <v>3.1908916729093622E-14</v>
      </c>
    </row>
    <row r="21" spans="3:9" x14ac:dyDescent="0.35">
      <c r="C21" s="2"/>
      <c r="H21" s="1" t="s">
        <v>28</v>
      </c>
      <c r="I21" s="1">
        <f>1-_xlfn.NORM.DIST(USL,I19,SIGMA,TRUE)</f>
        <v>3.3976731247387093E-6</v>
      </c>
    </row>
    <row r="22" spans="3:9" x14ac:dyDescent="0.35">
      <c r="C22" s="2"/>
    </row>
    <row r="23" spans="3:9" x14ac:dyDescent="0.35">
      <c r="C23" s="2"/>
      <c r="H23" s="1" t="s">
        <v>30</v>
      </c>
    </row>
    <row r="24" spans="3:9" x14ac:dyDescent="0.35">
      <c r="C24" s="2"/>
      <c r="H24" s="1" t="s">
        <v>31</v>
      </c>
    </row>
    <row r="25" spans="3:9" x14ac:dyDescent="0.35">
      <c r="C25" s="2"/>
      <c r="H25" s="1">
        <f>(1-I21)^1000</f>
        <v>0.99660808668241141</v>
      </c>
    </row>
    <row r="26" spans="3:9" x14ac:dyDescent="0.35">
      <c r="H26" s="1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38</vt:i4>
      </vt:variant>
    </vt:vector>
  </HeadingPairs>
  <TitlesOfParts>
    <vt:vector size="42" baseType="lpstr">
      <vt:lpstr>pchart</vt:lpstr>
      <vt:lpstr>xbar </vt:lpstr>
      <vt:lpstr>ProcessCapability</vt:lpstr>
      <vt:lpstr>Six Sigma</vt:lpstr>
      <vt:lpstr>A2forxbar</vt:lpstr>
      <vt:lpstr>'xbar '!batch_size</vt:lpstr>
      <vt:lpstr>batch_size</vt:lpstr>
      <vt:lpstr>D3forRbar</vt:lpstr>
      <vt:lpstr>D4forRbar</vt:lpstr>
      <vt:lpstr>'xbar '!LCL</vt:lpstr>
      <vt:lpstr>LCL</vt:lpstr>
      <vt:lpstr>'xbar '!lower1</vt:lpstr>
      <vt:lpstr>lower1</vt:lpstr>
      <vt:lpstr>'xbar '!lower2</vt:lpstr>
      <vt:lpstr>lower2</vt:lpstr>
      <vt:lpstr>lowercontrolRbar</vt:lpstr>
      <vt:lpstr>lowercontrolxbar</vt:lpstr>
      <vt:lpstr>'Six Sigma'!LSL</vt:lpstr>
      <vt:lpstr>LSL</vt:lpstr>
      <vt:lpstr>'Six Sigma'!MEAN</vt:lpstr>
      <vt:lpstr>MEAN</vt:lpstr>
      <vt:lpstr>'xbar '!pbar</vt:lpstr>
      <vt:lpstr>pbar</vt:lpstr>
      <vt:lpstr>'Six Sigma'!PROCESSSHIFT</vt:lpstr>
      <vt:lpstr>PROCESSSHIFT</vt:lpstr>
      <vt:lpstr>rbar</vt:lpstr>
      <vt:lpstr>samplesize</vt:lpstr>
      <vt:lpstr>'xbar '!sforp</vt:lpstr>
      <vt:lpstr>sforp</vt:lpstr>
      <vt:lpstr>'Six Sigma'!SIGMA</vt:lpstr>
      <vt:lpstr>SIGMA</vt:lpstr>
      <vt:lpstr>'xbar '!UCL</vt:lpstr>
      <vt:lpstr>UCL</vt:lpstr>
      <vt:lpstr>'xbar '!upper1</vt:lpstr>
      <vt:lpstr>upper1</vt:lpstr>
      <vt:lpstr>'xbar '!upper2</vt:lpstr>
      <vt:lpstr>upper2</vt:lpstr>
      <vt:lpstr>uppercontrolRbar</vt:lpstr>
      <vt:lpstr>uppercontrolxbar</vt:lpstr>
      <vt:lpstr>'Six Sigma'!USL</vt:lpstr>
      <vt:lpstr>USL</vt:lpstr>
      <vt:lpstr>xbar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2017-12-12T21:13:41Z</dcterms:created>
  <dcterms:modified xsi:type="dcterms:W3CDTF">2017-12-20T17:02:19Z</dcterms:modified>
</cp:coreProperties>
</file>