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onors26_32\"/>
    </mc:Choice>
  </mc:AlternateContent>
  <xr:revisionPtr revIDLastSave="0" documentId="8_{DAC10834-061F-4C12-AC5A-EA3B7A3ACD12}" xr6:coauthVersionLast="45" xr6:coauthVersionMax="45" xr10:uidLastSave="{00000000-0000-0000-0000-000000000000}"/>
  <bookViews>
    <workbookView xWindow="-104" yWindow="-104" windowWidth="22326" windowHeight="12050" xr2:uid="{00000000-000D-0000-FFFF-FFFF00000000}"/>
  </bookViews>
  <sheets>
    <sheet name="Notes" sheetId="6" r:id="rId1"/>
    <sheet name="Userbased" sheetId="4" r:id="rId2"/>
    <sheet name="Item based" sheetId="5" r:id="rId3"/>
    <sheet name="Sheet2" sheetId="2" r:id="rId4"/>
    <sheet name="Sheet3" sheetId="3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Claudia" localSheetId="2">'Item based'!$D$11:$I$11</definedName>
    <definedName name="Claudia">Userbased!$D$11:$I$11</definedName>
    <definedName name="common" localSheetId="2">'Item based'!$D$21</definedName>
    <definedName name="common">Userbased!$D$21</definedName>
    <definedName name="correl">Userbased!$D$29</definedName>
    <definedName name="correlations" localSheetId="2">'Item based'!$I$24:$N$30</definedName>
    <definedName name="correlations">Userbased!$I$24:$O$30</definedName>
    <definedName name="den" localSheetId="2">'Item based'!$D$28</definedName>
    <definedName name="den">Userbased!$D$28</definedName>
    <definedName name="Dupree" localSheetId="2">'Item based'!$H$8:$H$14</definedName>
    <definedName name="Dupree">Userbased!$H$8:$H$14</definedName>
    <definedName name="Gene" localSheetId="2">'Item based'!$D$9:$I$9</definedName>
    <definedName name="Gene">Userbased!$D$9:$I$9</definedName>
    <definedName name="Jack" localSheetId="2">'Item based'!$D$13:$I$13</definedName>
    <definedName name="Jack">Userbased!$D$13:$I$13</definedName>
    <definedName name="Lady" localSheetId="2">'Item based'!$D$8:$D$14</definedName>
    <definedName name="Lady">Userbased!$D$8:$D$14</definedName>
    <definedName name="Lisa" localSheetId="2">'Item based'!$D$8:$I$8</definedName>
    <definedName name="Lisa">Userbased!$D$8:$I$8</definedName>
    <definedName name="Listener" localSheetId="2">'Item based'!$I$8:$I$14</definedName>
    <definedName name="Listener">Userbased!$I$8:$I$14</definedName>
    <definedName name="Luck" localSheetId="2">'Item based'!$F$8:$F$14</definedName>
    <definedName name="Luck">Userbased!$F$8:$F$14</definedName>
    <definedName name="Mike" localSheetId="2">'Item based'!$D$10:$I$10</definedName>
    <definedName name="Mike">Userbased!$D$10:$I$10</definedName>
    <definedName name="Nick" localSheetId="2">'Item based'!$D$12:$I$12</definedName>
    <definedName name="Nick">Userbased!$D$12:$I$12</definedName>
    <definedName name="num" localSheetId="2">'Item based'!$D$27</definedName>
    <definedName name="num">Userbased!$D$27</definedName>
    <definedName name="psum">Userbased!$D$26</definedName>
    <definedName name="ratings" localSheetId="2">'Item based'!$D$8:$J$14</definedName>
    <definedName name="ratings">Userbased!$D$8:$J$14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nakes" localSheetId="2">'Item based'!$E$8:$E$14</definedName>
    <definedName name="Snakes">Userbased!$E$8:$E$14</definedName>
    <definedName name="sum1_" localSheetId="2">'Item based'!$D$22</definedName>
    <definedName name="sum1_">Userbased!$D$22</definedName>
    <definedName name="sum1sq" localSheetId="2">'Item based'!$D$24</definedName>
    <definedName name="sum1sq">Userbased!$D$24</definedName>
    <definedName name="sum2_" localSheetId="2">'Item based'!$D$23</definedName>
    <definedName name="sum2_">Userbased!$D$23</definedName>
    <definedName name="sum2sq" localSheetId="2">'Item based'!$D$25</definedName>
    <definedName name="sum2sq">Userbased!$D$25</definedName>
    <definedName name="Superman" localSheetId="2">'Item based'!$G$8:$G$14</definedName>
    <definedName name="Superman">Userbased!$G$8:$G$14</definedName>
    <definedName name="Toby" localSheetId="2">'Item based'!$D$14:$I$14</definedName>
    <definedName name="Toby">Userbased!$D$14:$I$14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5" l="1"/>
  <c r="H40" i="5"/>
  <c r="H41" i="5"/>
  <c r="H39" i="5"/>
  <c r="F44" i="5" s="1"/>
  <c r="B41" i="4"/>
  <c r="B39" i="4"/>
  <c r="F34" i="4"/>
  <c r="F35" i="4"/>
  <c r="F36" i="4"/>
  <c r="F33" i="4"/>
  <c r="E34" i="5"/>
  <c r="G34" i="5" s="1"/>
  <c r="E33" i="5"/>
  <c r="E32" i="5"/>
  <c r="E31" i="5"/>
  <c r="G31" i="5" s="1"/>
  <c r="E30" i="5"/>
  <c r="E29" i="5"/>
  <c r="G29" i="5" s="1"/>
  <c r="C19" i="5"/>
  <c r="C18" i="5"/>
  <c r="I17" i="5"/>
  <c r="H17" i="5"/>
  <c r="G17" i="5"/>
  <c r="F17" i="5"/>
  <c r="E17" i="5"/>
  <c r="D17" i="5"/>
  <c r="I16" i="5"/>
  <c r="I18" i="5" s="1"/>
  <c r="H16" i="5"/>
  <c r="G16" i="5"/>
  <c r="F16" i="5"/>
  <c r="E16" i="5"/>
  <c r="D16" i="5"/>
  <c r="J14" i="5"/>
  <c r="D26" i="5" s="1"/>
  <c r="J13" i="5"/>
  <c r="J12" i="5"/>
  <c r="J11" i="5"/>
  <c r="J10" i="5"/>
  <c r="J9" i="5"/>
  <c r="J8" i="5"/>
  <c r="E37" i="5"/>
  <c r="E36" i="5"/>
  <c r="D19" i="5" l="1"/>
  <c r="H19" i="5"/>
  <c r="E18" i="5"/>
  <c r="F18" i="5"/>
  <c r="H18" i="5"/>
  <c r="G18" i="5"/>
  <c r="D18" i="5"/>
  <c r="G32" i="5"/>
  <c r="G33" i="5"/>
  <c r="G30" i="5"/>
  <c r="E19" i="5"/>
  <c r="I19" i="5"/>
  <c r="F19" i="5"/>
  <c r="F29" i="5"/>
  <c r="H29" i="5" s="1"/>
  <c r="F30" i="5"/>
  <c r="H30" i="5" s="1"/>
  <c r="F31" i="5"/>
  <c r="H31" i="5" s="1"/>
  <c r="F32" i="5"/>
  <c r="H32" i="5" s="1"/>
  <c r="F33" i="5"/>
  <c r="H33" i="5" s="1"/>
  <c r="F34" i="5"/>
  <c r="H34" i="5" s="1"/>
  <c r="G19" i="5"/>
  <c r="D22" i="5" l="1"/>
  <c r="N21" i="5" s="1"/>
  <c r="D36" i="5"/>
  <c r="D37" i="5" s="1"/>
  <c r="T21" i="4" l="1"/>
  <c r="F21" i="4"/>
  <c r="Q35" i="4" l="1"/>
  <c r="Q36" i="4"/>
  <c r="S36" i="4" s="1"/>
  <c r="Q37" i="4"/>
  <c r="Q38" i="4"/>
  <c r="S38" i="4" s="1"/>
  <c r="Q39" i="4"/>
  <c r="Q40" i="4"/>
  <c r="Q34" i="4"/>
  <c r="P35" i="4"/>
  <c r="P36" i="4"/>
  <c r="P37" i="4"/>
  <c r="P38" i="4"/>
  <c r="P39" i="4"/>
  <c r="P40" i="4"/>
  <c r="P34" i="4"/>
  <c r="J9" i="4"/>
  <c r="O35" i="4" s="1"/>
  <c r="J10" i="4"/>
  <c r="O36" i="4" s="1"/>
  <c r="J11" i="4"/>
  <c r="O37" i="4" s="1"/>
  <c r="J12" i="4"/>
  <c r="O38" i="4" s="1"/>
  <c r="J13" i="4"/>
  <c r="O39" i="4" s="1"/>
  <c r="J14" i="4"/>
  <c r="O40" i="4" s="1"/>
  <c r="J8" i="4"/>
  <c r="O34" i="4" s="1"/>
  <c r="S34" i="4" l="1"/>
  <c r="S37" i="4"/>
  <c r="R40" i="4"/>
  <c r="S40" i="4"/>
  <c r="R39" i="4"/>
  <c r="S39" i="4"/>
  <c r="S35" i="4"/>
  <c r="J34" i="4"/>
  <c r="R34" i="4"/>
  <c r="R37" i="4"/>
  <c r="R35" i="4"/>
  <c r="R38" i="4"/>
  <c r="R36" i="4"/>
  <c r="O42" i="4" l="1"/>
  <c r="O43" i="4" s="1"/>
  <c r="C19" i="4"/>
  <c r="C18" i="4"/>
  <c r="I17" i="4"/>
  <c r="H17" i="4"/>
  <c r="G17" i="4"/>
  <c r="F17" i="4"/>
  <c r="E17" i="4"/>
  <c r="D17" i="4"/>
  <c r="I16" i="4"/>
  <c r="H16" i="4"/>
  <c r="G16" i="4"/>
  <c r="F16" i="4"/>
  <c r="E16" i="4"/>
  <c r="D16" i="4"/>
  <c r="H19" i="4" l="1"/>
  <c r="F18" i="4"/>
  <c r="F19" i="4"/>
  <c r="G18" i="4"/>
  <c r="G19" i="4"/>
  <c r="D19" i="4"/>
  <c r="E19" i="4"/>
  <c r="I19" i="4"/>
  <c r="D18" i="4"/>
  <c r="H18" i="4"/>
  <c r="E18" i="4"/>
  <c r="I18" i="4"/>
  <c r="E21" i="4" l="1"/>
  <c r="M19" i="4"/>
  <c r="H23" i="4"/>
</calcChain>
</file>

<file path=xl/sharedStrings.xml><?xml version="1.0" encoding="utf-8"?>
<sst xmlns="http://schemas.openxmlformats.org/spreadsheetml/2006/main" count="178" uniqueCount="94">
  <si>
    <t>Superman</t>
  </si>
  <si>
    <t>Person1</t>
  </si>
  <si>
    <t>Person2</t>
  </si>
  <si>
    <t>Correlations</t>
  </si>
  <si>
    <t>Person</t>
  </si>
  <si>
    <t>Mean</t>
  </si>
  <si>
    <t>Predict rating for</t>
  </si>
  <si>
    <t>Movie Rating</t>
  </si>
  <si>
    <t>Adjustment</t>
  </si>
  <si>
    <t>Total Adjustment</t>
  </si>
  <si>
    <t>Final Rating</t>
  </si>
  <si>
    <t>_</t>
  </si>
  <si>
    <t>-</t>
  </si>
  <si>
    <t>Lana</t>
  </si>
  <si>
    <t>Manuel</t>
  </si>
  <si>
    <t>Charles</t>
  </si>
  <si>
    <t>Noel</t>
  </si>
  <si>
    <t>James</t>
  </si>
  <si>
    <t>Theresa</t>
  </si>
  <si>
    <t>Sixth Sense</t>
  </si>
  <si>
    <t>George</t>
  </si>
  <si>
    <t>Correlation</t>
  </si>
  <si>
    <t>Similarity</t>
  </si>
  <si>
    <t>Sully</t>
  </si>
  <si>
    <t>Still  Alice</t>
  </si>
  <si>
    <t>Parasite</t>
  </si>
  <si>
    <t>Lana  Theresa Correlation</t>
  </si>
  <si>
    <t>DodgeBall</t>
  </si>
  <si>
    <t>Still Alice</t>
  </si>
  <si>
    <t>correlation between selected items</t>
  </si>
  <si>
    <t>Person Mean</t>
  </si>
  <si>
    <t>Movie</t>
  </si>
  <si>
    <t>Rating</t>
  </si>
  <si>
    <t>Movie Rating-Mean</t>
  </si>
  <si>
    <t>Abs Similarity</t>
  </si>
  <si>
    <t>Final rating estimate</t>
  </si>
  <si>
    <t>How do Netflix and Amazon make Recommendations?</t>
  </si>
  <si>
    <t>Netflix and Amazon  (and others)</t>
  </si>
  <si>
    <t xml:space="preserve">use ratings of other people to </t>
  </si>
  <si>
    <t>make your recommendations.</t>
  </si>
  <si>
    <t>Since other people are involved,</t>
  </si>
  <si>
    <t xml:space="preserve">its called  </t>
  </si>
  <si>
    <t>collaborative filtering.</t>
  </si>
  <si>
    <t>Let's focus on movies.</t>
  </si>
  <si>
    <t>User Based</t>
  </si>
  <si>
    <t>Look for people whose</t>
  </si>
  <si>
    <t>movie preferences</t>
  </si>
  <si>
    <t>are like mine.</t>
  </si>
  <si>
    <t xml:space="preserve">give more weight to the people </t>
  </si>
  <si>
    <t>whose rating pattern is like mine.</t>
  </si>
  <si>
    <r>
      <t xml:space="preserve">If they have seen </t>
    </r>
    <r>
      <rPr>
        <b/>
        <i/>
        <sz val="11"/>
        <color theme="1"/>
        <rFont val="Calibri"/>
        <family val="2"/>
        <scheme val="minor"/>
      </rPr>
      <t>Bohemian Rhapsody</t>
    </r>
  </si>
  <si>
    <t xml:space="preserve">Item Based </t>
  </si>
  <si>
    <t>Figure out what movies I have seen</t>
  </si>
  <si>
    <r>
      <t xml:space="preserve">are most similar to </t>
    </r>
    <r>
      <rPr>
        <b/>
        <i/>
        <sz val="11"/>
        <color theme="1"/>
        <rFont val="Calibri"/>
        <family val="2"/>
        <scheme val="minor"/>
      </rPr>
      <t>Bohemian Rhapsody.</t>
    </r>
  </si>
  <si>
    <t>Give more weight to my ratings of movies</t>
  </si>
  <si>
    <r>
      <t xml:space="preserve">like </t>
    </r>
    <r>
      <rPr>
        <b/>
        <i/>
        <sz val="11"/>
        <color theme="1"/>
        <rFont val="Calibri"/>
        <family val="2"/>
        <scheme val="minor"/>
      </rPr>
      <t>Bohemian Rhapsody.</t>
    </r>
  </si>
  <si>
    <r>
      <t xml:space="preserve">Rate </t>
    </r>
    <r>
      <rPr>
        <b/>
        <i/>
        <sz val="11"/>
        <color theme="1"/>
        <rFont val="Calibri"/>
        <family val="2"/>
        <scheme val="minor"/>
      </rPr>
      <t xml:space="preserve">Still Alice </t>
    </r>
    <r>
      <rPr>
        <b/>
        <sz val="11"/>
        <color theme="1"/>
        <rFont val="Calibri"/>
        <family val="2"/>
        <scheme val="minor"/>
      </rPr>
      <t>for Theresa</t>
    </r>
  </si>
  <si>
    <t>Who is most similar to Theresa?</t>
  </si>
  <si>
    <t>For example correlation between</t>
  </si>
  <si>
    <t>Lana and Theresa  Ratings is 0.99</t>
  </si>
  <si>
    <t>See Rows 18-21.</t>
  </si>
  <si>
    <t>Adjust based  on</t>
  </si>
  <si>
    <r>
      <t xml:space="preserve">all people who have seen </t>
    </r>
    <r>
      <rPr>
        <b/>
        <i/>
        <sz val="11"/>
        <color theme="1"/>
        <rFont val="Calibri"/>
        <family val="2"/>
        <scheme val="minor"/>
      </rPr>
      <t>Still Alice.</t>
    </r>
  </si>
  <si>
    <t>Start  with Theresa's Mean 3.17</t>
  </si>
  <si>
    <t>Adjust</t>
  </si>
  <si>
    <t xml:space="preserve">Charles  </t>
  </si>
  <si>
    <t>Item Based</t>
  </si>
  <si>
    <r>
      <t xml:space="preserve">Rate </t>
    </r>
    <r>
      <rPr>
        <b/>
        <i/>
        <sz val="11"/>
        <color theme="1"/>
        <rFont val="Calibri"/>
        <family val="2"/>
        <scheme val="minor"/>
      </rPr>
      <t xml:space="preserve">Still  </t>
    </r>
    <r>
      <rPr>
        <b/>
        <sz val="11"/>
        <color theme="1"/>
        <rFont val="Calibri"/>
        <family val="2"/>
        <scheme val="minor"/>
      </rPr>
      <t>Alice for Theresa</t>
    </r>
  </si>
  <si>
    <t>For Movies Theresa has  seen</t>
  </si>
  <si>
    <r>
      <t xml:space="preserve">find their similarity to </t>
    </r>
    <r>
      <rPr>
        <b/>
        <i/>
        <sz val="11"/>
        <color theme="1"/>
        <rFont val="Calibri"/>
        <family val="2"/>
        <scheme val="minor"/>
      </rPr>
      <t>Still  Alice</t>
    </r>
  </si>
  <si>
    <t xml:space="preserve">Then use  Theresa's </t>
  </si>
  <si>
    <t>rating for those movies to adjust</t>
  </si>
  <si>
    <t>her base rating</t>
  </si>
  <si>
    <t>of 3.17</t>
  </si>
  <si>
    <t>Dodge  Ball</t>
  </si>
  <si>
    <t>Correlation of other ratings</t>
  </si>
  <si>
    <t>Theresa's Rating</t>
  </si>
  <si>
    <t>Total  Adjustment</t>
  </si>
  <si>
    <t>Netflix Competition</t>
  </si>
  <si>
    <t>Gave competitors 100 million movie ratings</t>
  </si>
  <si>
    <t>Held back 1.4 million ratings (Test Set)</t>
  </si>
  <si>
    <t>Evaluate on Root Mean Square Error</t>
  </si>
  <si>
    <t>Average squared deviation.</t>
  </si>
  <si>
    <t>Take square root of this.</t>
  </si>
  <si>
    <t>Prize was given to first team</t>
  </si>
  <si>
    <t>improving RMSE by &gt;10%.</t>
  </si>
  <si>
    <t>Winner was an</t>
  </si>
  <si>
    <t>ensemble forecast.</t>
  </si>
  <si>
    <t>How Did Netflix pick  House of  Cards?</t>
  </si>
  <si>
    <t>Lots of people liked David Fincher (Social Network)</t>
  </si>
  <si>
    <t>Kevin Spacey (not now!)</t>
  </si>
  <si>
    <t>British House of Cards</t>
  </si>
  <si>
    <t>and word of mouth does the rest.</t>
  </si>
  <si>
    <t>They knew they had a core 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</si>
</sst>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quotePrefix="1" applyFont="1"/>
    <xf numFmtId="2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2" fontId="1" fillId="2" borderId="0" xfId="0" applyNumberFormat="1" applyFont="1" applyFill="1"/>
    <xf numFmtId="0" fontId="1" fillId="0" borderId="0" xfId="0" applyFont="1" applyAlignment="1">
      <alignment wrapText="1"/>
    </xf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  <xf numFmtId="2" fontId="1" fillId="3" borderId="0" xfId="0" applyNumberFormat="1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654C-AE2E-4602-9FE7-1A3AF84DD3E1}">
  <dimension ref="A1:L22"/>
  <sheetViews>
    <sheetView tabSelected="1" zoomScale="130" zoomScaleNormal="130" workbookViewId="0">
      <selection activeCell="H17" sqref="H17"/>
    </sheetView>
  </sheetViews>
  <sheetFormatPr defaultRowHeight="14.4" x14ac:dyDescent="0.3"/>
  <cols>
    <col min="1" max="16384" width="8.796875" style="1"/>
  </cols>
  <sheetData>
    <row r="1" spans="1:12" x14ac:dyDescent="0.3">
      <c r="A1" s="4" t="s">
        <v>36</v>
      </c>
      <c r="B1" s="4"/>
      <c r="C1" s="4"/>
      <c r="D1" s="4"/>
      <c r="E1" s="4"/>
      <c r="F1" s="4"/>
      <c r="H1" s="13" t="s">
        <v>78</v>
      </c>
      <c r="I1" s="13"/>
      <c r="J1" s="13"/>
      <c r="K1" s="13"/>
    </row>
    <row r="2" spans="1:12" x14ac:dyDescent="0.3">
      <c r="A2" s="4" t="s">
        <v>37</v>
      </c>
      <c r="B2" s="4"/>
      <c r="C2" s="4"/>
      <c r="D2" s="4"/>
      <c r="E2" s="4"/>
      <c r="F2" s="4"/>
      <c r="H2" s="13" t="s">
        <v>79</v>
      </c>
      <c r="I2" s="13"/>
      <c r="J2" s="13"/>
      <c r="K2" s="13"/>
    </row>
    <row r="3" spans="1:12" x14ac:dyDescent="0.3">
      <c r="A3" s="4" t="s">
        <v>38</v>
      </c>
      <c r="B3" s="4"/>
      <c r="C3" s="4"/>
      <c r="D3" s="4"/>
      <c r="E3" s="4"/>
      <c r="F3" s="4"/>
      <c r="H3" s="13" t="s">
        <v>80</v>
      </c>
      <c r="I3" s="13"/>
      <c r="J3" s="13"/>
      <c r="K3" s="13"/>
    </row>
    <row r="4" spans="1:12" x14ac:dyDescent="0.3">
      <c r="A4" s="4" t="s">
        <v>39</v>
      </c>
      <c r="B4" s="4"/>
      <c r="C4" s="4"/>
      <c r="D4" s="4"/>
      <c r="E4" s="4"/>
      <c r="F4" s="4"/>
      <c r="H4" s="13" t="s">
        <v>81</v>
      </c>
      <c r="I4" s="13"/>
      <c r="J4" s="13"/>
      <c r="K4" s="13"/>
    </row>
    <row r="5" spans="1:12" x14ac:dyDescent="0.3">
      <c r="A5" s="4" t="s">
        <v>40</v>
      </c>
      <c r="B5" s="4"/>
      <c r="C5" s="4"/>
      <c r="D5" s="4"/>
      <c r="E5" s="4"/>
      <c r="F5" s="4"/>
      <c r="H5" s="13" t="s">
        <v>82</v>
      </c>
      <c r="I5" s="13"/>
      <c r="J5" s="13"/>
      <c r="K5" s="13"/>
    </row>
    <row r="6" spans="1:12" x14ac:dyDescent="0.3">
      <c r="A6" s="4" t="s">
        <v>41</v>
      </c>
      <c r="B6" s="4"/>
      <c r="C6" s="4"/>
      <c r="D6" s="4"/>
      <c r="E6" s="4"/>
      <c r="F6" s="4"/>
      <c r="H6" s="13" t="s">
        <v>83</v>
      </c>
      <c r="I6" s="13"/>
      <c r="J6" s="13"/>
      <c r="K6" s="13"/>
    </row>
    <row r="7" spans="1:12" x14ac:dyDescent="0.3">
      <c r="A7" s="8" t="s">
        <v>42</v>
      </c>
      <c r="B7" s="4"/>
      <c r="C7" s="4"/>
      <c r="D7" s="4"/>
      <c r="E7" s="4"/>
      <c r="F7" s="4"/>
      <c r="H7" s="13" t="s">
        <v>84</v>
      </c>
      <c r="I7" s="13"/>
      <c r="J7" s="13"/>
      <c r="K7" s="13"/>
    </row>
    <row r="8" spans="1:12" x14ac:dyDescent="0.3">
      <c r="A8" s="4" t="s">
        <v>43</v>
      </c>
      <c r="B8" s="4"/>
      <c r="C8" s="4"/>
      <c r="D8" s="4"/>
      <c r="E8" s="4"/>
      <c r="F8" s="4"/>
      <c r="H8" s="13" t="s">
        <v>85</v>
      </c>
      <c r="I8" s="13"/>
      <c r="J8" s="13"/>
      <c r="K8" s="13"/>
    </row>
    <row r="9" spans="1:12" x14ac:dyDescent="0.3">
      <c r="H9" s="13" t="s">
        <v>86</v>
      </c>
      <c r="I9" s="13"/>
      <c r="J9" s="13"/>
      <c r="K9" s="13"/>
    </row>
    <row r="10" spans="1:12" x14ac:dyDescent="0.3">
      <c r="A10" s="9" t="s">
        <v>44</v>
      </c>
      <c r="B10" s="9"/>
      <c r="C10" s="9"/>
      <c r="D10" s="9"/>
      <c r="E10" s="9"/>
      <c r="H10" s="13" t="s">
        <v>87</v>
      </c>
      <c r="I10" s="13"/>
      <c r="J10" s="13"/>
      <c r="K10" s="13"/>
    </row>
    <row r="11" spans="1:12" x14ac:dyDescent="0.3">
      <c r="A11" s="9" t="s">
        <v>45</v>
      </c>
      <c r="B11" s="9"/>
      <c r="C11" s="9"/>
      <c r="D11" s="9"/>
      <c r="E11" s="9"/>
    </row>
    <row r="12" spans="1:12" x14ac:dyDescent="0.3">
      <c r="A12" s="9" t="s">
        <v>46</v>
      </c>
      <c r="B12" s="9"/>
      <c r="C12" s="9"/>
      <c r="D12" s="9"/>
      <c r="E12" s="9"/>
      <c r="H12" s="14" t="s">
        <v>88</v>
      </c>
      <c r="I12" s="14"/>
      <c r="J12" s="14"/>
      <c r="K12" s="14"/>
      <c r="L12" s="14"/>
    </row>
    <row r="13" spans="1:12" x14ac:dyDescent="0.3">
      <c r="A13" s="9" t="s">
        <v>47</v>
      </c>
      <c r="B13" s="9"/>
      <c r="C13" s="9"/>
      <c r="D13" s="9"/>
      <c r="E13" s="9"/>
      <c r="H13" s="14" t="s">
        <v>89</v>
      </c>
      <c r="I13" s="14"/>
      <c r="J13" s="14"/>
      <c r="K13" s="14"/>
      <c r="L13" s="14"/>
    </row>
    <row r="14" spans="1:12" x14ac:dyDescent="0.3">
      <c r="A14" s="9" t="s">
        <v>50</v>
      </c>
      <c r="B14" s="9"/>
      <c r="C14" s="9"/>
      <c r="D14" s="9"/>
      <c r="E14" s="9"/>
      <c r="H14" s="14" t="s">
        <v>90</v>
      </c>
      <c r="I14" s="14"/>
      <c r="J14" s="14"/>
      <c r="K14" s="14"/>
      <c r="L14" s="14"/>
    </row>
    <row r="15" spans="1:12" x14ac:dyDescent="0.3">
      <c r="A15" s="9" t="s">
        <v>48</v>
      </c>
      <c r="B15" s="9"/>
      <c r="C15" s="9"/>
      <c r="D15" s="9"/>
      <c r="E15" s="9"/>
      <c r="H15" s="14" t="s">
        <v>91</v>
      </c>
      <c r="I15" s="14"/>
      <c r="J15" s="14"/>
      <c r="K15" s="14"/>
      <c r="L15" s="14"/>
    </row>
    <row r="16" spans="1:12" x14ac:dyDescent="0.3">
      <c r="A16" s="9" t="s">
        <v>49</v>
      </c>
      <c r="B16" s="9"/>
      <c r="C16" s="9"/>
      <c r="D16" s="9"/>
      <c r="H16" s="14" t="s">
        <v>93</v>
      </c>
      <c r="I16" s="14"/>
      <c r="J16" s="14"/>
      <c r="K16" s="14"/>
      <c r="L16" s="14"/>
    </row>
    <row r="17" spans="1:12" x14ac:dyDescent="0.3">
      <c r="H17" s="14" t="s">
        <v>92</v>
      </c>
      <c r="I17" s="14"/>
      <c r="J17" s="14"/>
      <c r="K17" s="14"/>
      <c r="L17" s="14"/>
    </row>
    <row r="18" spans="1:12" x14ac:dyDescent="0.3">
      <c r="A18" s="12" t="s">
        <v>51</v>
      </c>
      <c r="B18" s="12"/>
      <c r="C18" s="12"/>
      <c r="D18" s="12"/>
      <c r="E18" s="12"/>
      <c r="F18" s="12"/>
    </row>
    <row r="19" spans="1:12" x14ac:dyDescent="0.3">
      <c r="A19" s="12" t="s">
        <v>52</v>
      </c>
      <c r="B19" s="12"/>
      <c r="C19" s="12"/>
      <c r="D19" s="12"/>
      <c r="E19" s="12"/>
      <c r="F19" s="12"/>
    </row>
    <row r="20" spans="1:12" x14ac:dyDescent="0.3">
      <c r="A20" s="12" t="s">
        <v>53</v>
      </c>
      <c r="B20" s="12"/>
      <c r="C20" s="12"/>
      <c r="D20" s="12"/>
      <c r="E20" s="12"/>
      <c r="F20" s="12"/>
    </row>
    <row r="21" spans="1:12" x14ac:dyDescent="0.3">
      <c r="A21" s="12" t="s">
        <v>54</v>
      </c>
      <c r="B21" s="12"/>
      <c r="C21" s="12"/>
      <c r="D21" s="12"/>
      <c r="E21" s="12"/>
      <c r="F21" s="12"/>
    </row>
    <row r="22" spans="1:12" x14ac:dyDescent="0.3">
      <c r="A22" s="12" t="s">
        <v>55</v>
      </c>
      <c r="B22" s="12"/>
      <c r="C22" s="12"/>
      <c r="D22" s="12"/>
      <c r="E22" s="12"/>
      <c r="F22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T43"/>
  <sheetViews>
    <sheetView topLeftCell="A27" zoomScale="170" zoomScaleNormal="170" workbookViewId="0">
      <selection activeCell="B41" sqref="B41"/>
    </sheetView>
  </sheetViews>
  <sheetFormatPr defaultColWidth="9.09765625" defaultRowHeight="14.4" x14ac:dyDescent="0.3"/>
  <cols>
    <col min="1" max="3" width="9.09765625" style="1"/>
    <col min="4" max="4" width="12.59765625" style="1" customWidth="1"/>
    <col min="5" max="5" width="9.3984375" style="1" customWidth="1"/>
    <col min="6" max="6" width="8.796875" style="1" bestFit="1" customWidth="1"/>
    <col min="7" max="7" width="8.8984375" style="1" bestFit="1" customWidth="1"/>
    <col min="8" max="8" width="14.5" style="1" bestFit="1" customWidth="1"/>
    <col min="9" max="9" width="6.59765625" style="1" customWidth="1"/>
    <col min="10" max="10" width="6.69921875" style="1" bestFit="1" customWidth="1"/>
    <col min="11" max="11" width="6.8984375" style="1" hidden="1" customWidth="1"/>
    <col min="12" max="12" width="4.296875" style="1" hidden="1" customWidth="1"/>
    <col min="13" max="13" width="11.8984375" style="1" hidden="1" customWidth="1"/>
    <col min="14" max="14" width="14.796875" style="1" bestFit="1" customWidth="1"/>
    <col min="15" max="15" width="7.19921875" style="1" bestFit="1" customWidth="1"/>
    <col min="16" max="16" width="8.5" style="1" bestFit="1" customWidth="1"/>
    <col min="17" max="17" width="11.5" style="1" bestFit="1" customWidth="1"/>
    <col min="18" max="18" width="10.296875" style="1" bestFit="1" customWidth="1"/>
    <col min="19" max="19" width="9.8984375" style="1" bestFit="1" customWidth="1"/>
    <col min="20" max="16384" width="9.09765625" style="1"/>
  </cols>
  <sheetData>
    <row r="7" spans="2:10" x14ac:dyDescent="0.3">
      <c r="D7" s="1" t="s">
        <v>19</v>
      </c>
      <c r="E7" s="1" t="s">
        <v>23</v>
      </c>
      <c r="F7" s="1" t="s">
        <v>24</v>
      </c>
      <c r="G7" s="1" t="s">
        <v>0</v>
      </c>
      <c r="H7" s="1" t="s">
        <v>27</v>
      </c>
      <c r="I7" s="1" t="s">
        <v>25</v>
      </c>
      <c r="J7" s="1" t="s">
        <v>5</v>
      </c>
    </row>
    <row r="8" spans="2:10" x14ac:dyDescent="0.3">
      <c r="C8" s="1" t="s">
        <v>13</v>
      </c>
      <c r="D8" s="1">
        <v>2.5</v>
      </c>
      <c r="E8" s="1">
        <v>3.5</v>
      </c>
      <c r="F8" s="1">
        <v>3</v>
      </c>
      <c r="G8" s="1">
        <v>3.5</v>
      </c>
      <c r="H8" s="1">
        <v>2.5</v>
      </c>
      <c r="J8" s="3">
        <f>AVERAGE(D8:I8)</f>
        <v>3</v>
      </c>
    </row>
    <row r="9" spans="2:10" x14ac:dyDescent="0.3">
      <c r="C9" s="1" t="s">
        <v>20</v>
      </c>
      <c r="D9" s="1">
        <v>3</v>
      </c>
      <c r="E9" s="1">
        <v>3.5</v>
      </c>
      <c r="F9" s="1">
        <v>1.5</v>
      </c>
      <c r="G9" s="1">
        <v>5</v>
      </c>
      <c r="H9" s="1">
        <v>3.5</v>
      </c>
      <c r="I9" s="1">
        <v>3</v>
      </c>
      <c r="J9" s="3">
        <f t="shared" ref="J9:J14" si="0">AVERAGE(D9:I9)</f>
        <v>3.25</v>
      </c>
    </row>
    <row r="10" spans="2:10" x14ac:dyDescent="0.3">
      <c r="C10" s="1" t="s">
        <v>14</v>
      </c>
      <c r="D10" s="1">
        <v>2.5</v>
      </c>
      <c r="E10" s="1">
        <v>3</v>
      </c>
      <c r="G10" s="1">
        <v>3.5</v>
      </c>
      <c r="I10" s="1">
        <v>4</v>
      </c>
      <c r="J10" s="3">
        <f t="shared" si="0"/>
        <v>3.25</v>
      </c>
    </row>
    <row r="11" spans="2:10" x14ac:dyDescent="0.3">
      <c r="C11" s="1" t="s">
        <v>15</v>
      </c>
      <c r="E11" s="1">
        <v>3.5</v>
      </c>
      <c r="F11" s="1">
        <v>3</v>
      </c>
      <c r="G11" s="1">
        <v>4</v>
      </c>
      <c r="H11" s="1">
        <v>2.5</v>
      </c>
      <c r="I11" s="1">
        <v>4.5</v>
      </c>
      <c r="J11" s="3">
        <f t="shared" si="0"/>
        <v>3.5</v>
      </c>
    </row>
    <row r="12" spans="2:10" x14ac:dyDescent="0.3">
      <c r="C12" s="1" t="s">
        <v>16</v>
      </c>
      <c r="D12" s="1">
        <v>3</v>
      </c>
      <c r="E12" s="1">
        <v>4</v>
      </c>
      <c r="F12" s="1">
        <v>2</v>
      </c>
      <c r="G12" s="1">
        <v>3</v>
      </c>
      <c r="H12" s="1">
        <v>2</v>
      </c>
      <c r="I12" s="1">
        <v>3</v>
      </c>
      <c r="J12" s="3">
        <f t="shared" si="0"/>
        <v>2.8333333333333335</v>
      </c>
    </row>
    <row r="13" spans="2:10" x14ac:dyDescent="0.3">
      <c r="C13" s="1" t="s">
        <v>17</v>
      </c>
      <c r="D13" s="1">
        <v>3</v>
      </c>
      <c r="E13" s="1">
        <v>4</v>
      </c>
      <c r="G13" s="1">
        <v>5</v>
      </c>
      <c r="H13" s="1">
        <v>3.5</v>
      </c>
      <c r="I13" s="1">
        <v>3</v>
      </c>
      <c r="J13" s="3">
        <f t="shared" si="0"/>
        <v>3.7</v>
      </c>
    </row>
    <row r="14" spans="2:10" x14ac:dyDescent="0.3">
      <c r="C14" s="1" t="s">
        <v>18</v>
      </c>
      <c r="E14" s="1">
        <v>4.5</v>
      </c>
      <c r="G14" s="1">
        <v>4</v>
      </c>
      <c r="H14" s="1">
        <v>1</v>
      </c>
      <c r="J14" s="3">
        <f t="shared" si="0"/>
        <v>3.1666666666666665</v>
      </c>
    </row>
    <row r="15" spans="2:10" x14ac:dyDescent="0.3">
      <c r="D15" s="1">
        <v>1</v>
      </c>
      <c r="E15" s="1">
        <v>2</v>
      </c>
      <c r="F15" s="1">
        <v>3</v>
      </c>
      <c r="G15" s="1">
        <v>4</v>
      </c>
      <c r="H15" s="1">
        <v>5</v>
      </c>
      <c r="I15" s="1">
        <v>6</v>
      </c>
    </row>
    <row r="16" spans="2:10" x14ac:dyDescent="0.3">
      <c r="B16" s="1" t="s">
        <v>1</v>
      </c>
      <c r="C16" s="4" t="s">
        <v>13</v>
      </c>
      <c r="D16" s="4">
        <f>INDEX($D$8:$I$14,MATCH($C16,$C$8:$C$14,0),D$15)</f>
        <v>2.5</v>
      </c>
      <c r="E16" s="4">
        <f t="shared" ref="E16:I17" si="1">INDEX($D$8:$I$14,MATCH($C16,$C$8:$C$14,0),E$15)</f>
        <v>3.5</v>
      </c>
      <c r="F16" s="4">
        <f t="shared" si="1"/>
        <v>3</v>
      </c>
      <c r="G16" s="4">
        <f t="shared" si="1"/>
        <v>3.5</v>
      </c>
      <c r="H16" s="4">
        <f t="shared" si="1"/>
        <v>2.5</v>
      </c>
      <c r="I16" s="4">
        <f t="shared" si="1"/>
        <v>0</v>
      </c>
    </row>
    <row r="17" spans="1:20" x14ac:dyDescent="0.3">
      <c r="B17" s="1" t="s">
        <v>2</v>
      </c>
      <c r="C17" s="4" t="s">
        <v>18</v>
      </c>
      <c r="D17" s="4">
        <f>INDEX($D$8:$I$14,MATCH($C17,$C$8:$C$14,0),D$15)</f>
        <v>0</v>
      </c>
      <c r="E17" s="4">
        <f t="shared" si="1"/>
        <v>4.5</v>
      </c>
      <c r="F17" s="4">
        <f t="shared" si="1"/>
        <v>0</v>
      </c>
      <c r="G17" s="4">
        <f t="shared" si="1"/>
        <v>4</v>
      </c>
      <c r="H17" s="4">
        <f t="shared" si="1"/>
        <v>1</v>
      </c>
      <c r="I17" s="4">
        <f t="shared" si="1"/>
        <v>0</v>
      </c>
    </row>
    <row r="18" spans="1:20" x14ac:dyDescent="0.3">
      <c r="C18" s="4" t="str">
        <f>C16</f>
        <v>Lana</v>
      </c>
      <c r="D18" s="4" t="str">
        <f>IF(COUNTIF(D$16:D$17,"&gt;0")=2,D16,"_ ")</f>
        <v xml:space="preserve">_ </v>
      </c>
      <c r="E18" s="4">
        <f t="shared" ref="E18:I18" si="2">IF(COUNTIF(E$16:E$17,"&gt;0")=2,E16,"_ ")</f>
        <v>3.5</v>
      </c>
      <c r="F18" s="4" t="str">
        <f t="shared" si="2"/>
        <v xml:space="preserve">_ </v>
      </c>
      <c r="G18" s="4">
        <f t="shared" si="2"/>
        <v>3.5</v>
      </c>
      <c r="H18" s="4">
        <f t="shared" si="2"/>
        <v>2.5</v>
      </c>
      <c r="I18" s="4" t="str">
        <f t="shared" si="2"/>
        <v xml:space="preserve">_ </v>
      </c>
      <c r="L18" s="1">
        <v>2.5</v>
      </c>
      <c r="M18" s="1" t="s">
        <v>21</v>
      </c>
      <c r="O18" s="2" t="s">
        <v>11</v>
      </c>
      <c r="P18" s="1">
        <v>3.5</v>
      </c>
      <c r="Q18" s="2" t="s">
        <v>11</v>
      </c>
      <c r="R18" s="1">
        <v>3.5</v>
      </c>
      <c r="S18" s="2" t="s">
        <v>12</v>
      </c>
      <c r="T18" s="1">
        <v>2.5</v>
      </c>
    </row>
    <row r="19" spans="1:20" x14ac:dyDescent="0.3">
      <c r="C19" s="4" t="str">
        <f>C17</f>
        <v>Theresa</v>
      </c>
      <c r="D19" s="4" t="str">
        <f>IF(COUNTIF(D$16:D$17,"&gt;0")=2,D17,"_ ")</f>
        <v xml:space="preserve">_ </v>
      </c>
      <c r="E19" s="4">
        <f t="shared" ref="E19:I19" si="3">IF(COUNTIF(E$16:E$17,"&gt;0")=2,E17,"_ ")</f>
        <v>4.5</v>
      </c>
      <c r="F19" s="4" t="str">
        <f t="shared" si="3"/>
        <v xml:space="preserve">_ </v>
      </c>
      <c r="G19" s="4">
        <f t="shared" si="3"/>
        <v>4</v>
      </c>
      <c r="H19" s="4">
        <f t="shared" si="3"/>
        <v>1</v>
      </c>
      <c r="I19" s="4" t="str">
        <f t="shared" si="3"/>
        <v xml:space="preserve">_ </v>
      </c>
      <c r="L19" s="1">
        <v>1</v>
      </c>
      <c r="M19" s="1">
        <f>CORREL(D18:I18,D19:I19)</f>
        <v>0.99124070716193036</v>
      </c>
      <c r="O19" s="2" t="s">
        <v>11</v>
      </c>
      <c r="P19" s="1">
        <v>4.5</v>
      </c>
      <c r="Q19" s="2" t="s">
        <v>11</v>
      </c>
      <c r="R19" s="1">
        <v>4</v>
      </c>
      <c r="S19" s="2" t="s">
        <v>12</v>
      </c>
      <c r="T19" s="1">
        <v>1</v>
      </c>
    </row>
    <row r="20" spans="1:20" x14ac:dyDescent="0.3">
      <c r="C20" s="4"/>
      <c r="D20" s="4"/>
      <c r="E20" s="4"/>
      <c r="F20" s="4"/>
      <c r="G20" s="4"/>
      <c r="H20" s="4"/>
      <c r="I20" s="4"/>
    </row>
    <row r="21" spans="1:20" ht="28.8" x14ac:dyDescent="0.3">
      <c r="C21" s="4"/>
      <c r="D21" s="5" t="s">
        <v>26</v>
      </c>
      <c r="E21" s="6">
        <f>CORREL(D18:I18,D19:I19)</f>
        <v>0.99124070716193036</v>
      </c>
      <c r="F21" s="4" t="str">
        <f ca="1">_xlfn.FORMULATEXT(E21)</f>
        <v>=CORREL(D18:I18,D19:I19)</v>
      </c>
      <c r="G21" s="4"/>
      <c r="H21" s="4"/>
      <c r="I21" s="4"/>
      <c r="T21" s="1">
        <f>CORREL(O18:T18,O19:T19)</f>
        <v>0.99124070716193036</v>
      </c>
    </row>
    <row r="22" spans="1:20" x14ac:dyDescent="0.3">
      <c r="H22" s="1" t="s">
        <v>3</v>
      </c>
    </row>
    <row r="23" spans="1:20" x14ac:dyDescent="0.3">
      <c r="A23" s="9"/>
      <c r="B23" s="9" t="s">
        <v>44</v>
      </c>
      <c r="C23" s="9"/>
      <c r="D23" s="9"/>
      <c r="E23" s="9"/>
      <c r="F23" s="9"/>
      <c r="H23" s="1">
        <f>CORREL(D18:I18,D19:I19)</f>
        <v>0.99124070716193036</v>
      </c>
      <c r="I23" s="1" t="s">
        <v>13</v>
      </c>
      <c r="J23" s="1" t="s">
        <v>20</v>
      </c>
      <c r="K23" s="1" t="s">
        <v>14</v>
      </c>
      <c r="L23" s="1" t="s">
        <v>15</v>
      </c>
      <c r="M23" s="1" t="s">
        <v>16</v>
      </c>
      <c r="N23" s="1" t="s">
        <v>17</v>
      </c>
      <c r="O23" s="1" t="s">
        <v>18</v>
      </c>
    </row>
    <row r="24" spans="1:20" x14ac:dyDescent="0.3">
      <c r="A24" s="9"/>
      <c r="B24" s="9" t="s">
        <v>56</v>
      </c>
      <c r="C24" s="9"/>
      <c r="D24" s="9"/>
      <c r="E24" s="9"/>
      <c r="F24" s="9"/>
      <c r="H24" s="1" t="s">
        <v>13</v>
      </c>
      <c r="I24" s="3">
        <f t="dataTable" ref="I24:O30" dt2D="1" dtr="1" r1="C16" r2="C17"/>
        <v>1.0000000000000002</v>
      </c>
      <c r="J24" s="3">
        <v>0.39840953644479793</v>
      </c>
      <c r="K24" s="3">
        <v>0.8660254037844386</v>
      </c>
      <c r="L24" s="3">
        <v>0.94387980744853894</v>
      </c>
      <c r="M24" s="3">
        <v>0.597614304667197</v>
      </c>
      <c r="N24" s="3">
        <v>0.84515425472851657</v>
      </c>
      <c r="O24" s="3">
        <v>0.99124070716193036</v>
      </c>
    </row>
    <row r="25" spans="1:20" x14ac:dyDescent="0.3">
      <c r="A25" s="9"/>
      <c r="B25" s="9" t="s">
        <v>57</v>
      </c>
      <c r="C25" s="9"/>
      <c r="D25" s="9"/>
      <c r="E25" s="9"/>
      <c r="F25" s="9"/>
      <c r="H25" s="1" t="s">
        <v>20</v>
      </c>
      <c r="I25" s="3">
        <v>0.39840953644479793</v>
      </c>
      <c r="J25" s="3">
        <v>1</v>
      </c>
      <c r="K25" s="3">
        <v>0.20459830184114206</v>
      </c>
      <c r="L25" s="3">
        <v>0.31497039417435596</v>
      </c>
      <c r="M25" s="3">
        <v>0.41176470588235292</v>
      </c>
      <c r="N25" s="3">
        <v>0.96379568187563303</v>
      </c>
      <c r="O25" s="3">
        <v>0.38124642583151169</v>
      </c>
    </row>
    <row r="26" spans="1:20" x14ac:dyDescent="0.3">
      <c r="A26" s="9"/>
      <c r="B26" s="9" t="s">
        <v>58</v>
      </c>
      <c r="C26" s="9"/>
      <c r="D26" s="9"/>
      <c r="E26" s="9"/>
      <c r="F26" s="9"/>
      <c r="H26" s="1" t="s">
        <v>14</v>
      </c>
      <c r="I26" s="3">
        <v>0.8660254037844386</v>
      </c>
      <c r="J26" s="3">
        <v>0.20459830184114206</v>
      </c>
      <c r="K26" s="3">
        <v>0.99999999999999978</v>
      </c>
      <c r="L26" s="3">
        <v>1</v>
      </c>
      <c r="M26" s="3">
        <v>-0.2581988897471611</v>
      </c>
      <c r="N26" s="3">
        <v>0.13483997249264842</v>
      </c>
      <c r="O26" s="3">
        <v>-1</v>
      </c>
    </row>
    <row r="27" spans="1:20" x14ac:dyDescent="0.3">
      <c r="A27" s="9"/>
      <c r="B27" s="9" t="s">
        <v>59</v>
      </c>
      <c r="C27" s="9"/>
      <c r="D27" s="9"/>
      <c r="E27" s="9"/>
      <c r="F27" s="9"/>
      <c r="H27" s="1" t="s">
        <v>15</v>
      </c>
      <c r="I27" s="3">
        <v>0.94387980744853894</v>
      </c>
      <c r="J27" s="3">
        <v>0.31497039417435596</v>
      </c>
      <c r="K27" s="3">
        <v>1</v>
      </c>
      <c r="L27" s="3">
        <v>0.99999999999999978</v>
      </c>
      <c r="M27" s="3">
        <v>0.56694670951384074</v>
      </c>
      <c r="N27" s="3">
        <v>2.8571428571428571E-2</v>
      </c>
      <c r="O27" s="3">
        <v>0.89340514744156441</v>
      </c>
    </row>
    <row r="28" spans="1:20" x14ac:dyDescent="0.3">
      <c r="A28" s="9"/>
      <c r="B28" s="9" t="s">
        <v>60</v>
      </c>
      <c r="C28" s="9"/>
      <c r="D28" s="9"/>
      <c r="E28" s="9"/>
      <c r="F28" s="9"/>
      <c r="H28" s="1" t="s">
        <v>16</v>
      </c>
      <c r="I28" s="3">
        <v>0.597614304667197</v>
      </c>
      <c r="J28" s="3">
        <v>0.41176470588235292</v>
      </c>
      <c r="K28" s="3">
        <v>-0.2581988897471611</v>
      </c>
      <c r="L28" s="3">
        <v>0.56694670951384074</v>
      </c>
      <c r="M28" s="3">
        <v>0.99999999999999989</v>
      </c>
      <c r="N28" s="3">
        <v>0.21128856368212917</v>
      </c>
      <c r="O28" s="3">
        <v>0.92447345164190509</v>
      </c>
    </row>
    <row r="29" spans="1:20" x14ac:dyDescent="0.3">
      <c r="A29" s="9"/>
      <c r="B29" s="9" t="s">
        <v>61</v>
      </c>
      <c r="C29" s="9"/>
      <c r="D29" s="9"/>
      <c r="E29" s="9"/>
      <c r="F29" s="9"/>
      <c r="H29" s="1" t="s">
        <v>17</v>
      </c>
      <c r="I29" s="3">
        <v>0.84515425472851657</v>
      </c>
      <c r="J29" s="3">
        <v>0.96379568187563303</v>
      </c>
      <c r="K29" s="3">
        <v>0.13483997249264842</v>
      </c>
      <c r="L29" s="3">
        <v>2.8571428571428571E-2</v>
      </c>
      <c r="M29" s="3">
        <v>0.21128856368212917</v>
      </c>
      <c r="N29" s="3">
        <v>1</v>
      </c>
      <c r="O29" s="3">
        <v>0.66284898035987039</v>
      </c>
    </row>
    <row r="30" spans="1:20" x14ac:dyDescent="0.3">
      <c r="A30" s="9"/>
      <c r="B30" s="9" t="s">
        <v>62</v>
      </c>
      <c r="C30" s="9"/>
      <c r="D30" s="9"/>
      <c r="E30" s="9"/>
      <c r="F30" s="9"/>
      <c r="H30" s="1" t="s">
        <v>18</v>
      </c>
      <c r="I30" s="3">
        <v>0.99124070716193036</v>
      </c>
      <c r="J30" s="3">
        <v>0.38124642583151169</v>
      </c>
      <c r="K30" s="3">
        <v>-1</v>
      </c>
      <c r="L30" s="3">
        <v>0.89340514744156441</v>
      </c>
      <c r="M30" s="3">
        <v>0.92447345164190509</v>
      </c>
      <c r="N30" s="3">
        <v>0.66284898035987039</v>
      </c>
      <c r="O30" s="3">
        <v>1</v>
      </c>
    </row>
    <row r="31" spans="1:20" x14ac:dyDescent="0.3">
      <c r="A31" s="9"/>
      <c r="B31" s="9" t="s">
        <v>63</v>
      </c>
      <c r="C31" s="9"/>
      <c r="D31" s="9"/>
      <c r="E31" s="9"/>
      <c r="F31" s="9"/>
    </row>
    <row r="32" spans="1:20" x14ac:dyDescent="0.3">
      <c r="A32" s="9"/>
      <c r="B32" s="9" t="s">
        <v>64</v>
      </c>
      <c r="C32" s="9" t="s">
        <v>5</v>
      </c>
      <c r="D32" s="10" t="s">
        <v>28</v>
      </c>
      <c r="E32" s="9" t="s">
        <v>21</v>
      </c>
      <c r="F32" s="9" t="s">
        <v>8</v>
      </c>
    </row>
    <row r="33" spans="1:19" x14ac:dyDescent="0.3">
      <c r="A33" s="9"/>
      <c r="B33" s="9" t="s">
        <v>13</v>
      </c>
      <c r="C33" s="9">
        <v>3</v>
      </c>
      <c r="D33" s="9">
        <v>3</v>
      </c>
      <c r="E33" s="9">
        <v>0.99</v>
      </c>
      <c r="F33" s="9">
        <f>(D33-C33)*E33</f>
        <v>0</v>
      </c>
      <c r="H33" s="1" t="s">
        <v>6</v>
      </c>
      <c r="I33" s="1" t="s">
        <v>4</v>
      </c>
      <c r="J33" s="1" t="s">
        <v>5</v>
      </c>
      <c r="O33" s="1" t="s">
        <v>5</v>
      </c>
      <c r="P33" s="1" t="s">
        <v>22</v>
      </c>
      <c r="Q33" s="1" t="s">
        <v>7</v>
      </c>
      <c r="R33" s="1" t="s">
        <v>8</v>
      </c>
      <c r="S33" s="1" t="s">
        <v>21</v>
      </c>
    </row>
    <row r="34" spans="1:19" x14ac:dyDescent="0.3">
      <c r="A34" s="9"/>
      <c r="B34" s="9" t="s">
        <v>20</v>
      </c>
      <c r="C34" s="9">
        <v>3.25</v>
      </c>
      <c r="D34" s="9">
        <v>1.5</v>
      </c>
      <c r="E34" s="9">
        <v>0.38</v>
      </c>
      <c r="F34" s="9">
        <f t="shared" ref="F34:F36" si="4">(D34-C34)*E34</f>
        <v>-0.66500000000000004</v>
      </c>
      <c r="H34" s="1" t="s">
        <v>24</v>
      </c>
      <c r="I34" s="1" t="s">
        <v>18</v>
      </c>
      <c r="J34" s="3">
        <f>VLOOKUP(I34,$C$8:$J$14,8,FALSE)</f>
        <v>3.1666666666666665</v>
      </c>
      <c r="N34" s="1" t="s">
        <v>13</v>
      </c>
      <c r="O34" s="3">
        <f>VLOOKUP(N34,$C$8:$J$14,8,FALSE)</f>
        <v>3</v>
      </c>
      <c r="P34" s="3">
        <f t="shared" ref="P34:P40" si="5">INDEX(correlations,MATCH($I$34,$H$24:$H$30,0),MATCH(N34,$I$23:$O$23,0))</f>
        <v>0.99124070716193036</v>
      </c>
      <c r="Q34" s="3">
        <f t="shared" ref="Q34:Q40" si="6">INDEX(ratings,MATCH(N34,$N$34:$N$40,0),MATCH($H$34,$D$7:$I$7,0))</f>
        <v>3</v>
      </c>
      <c r="R34" s="3">
        <f>IF(AND(N34&lt;&gt;$I$34,Q34&gt;0),(Q34-O34),0)</f>
        <v>0</v>
      </c>
      <c r="S34" s="3">
        <f>IF(AND(N34&lt;&gt;$I$34,Q34&gt;0),P34,0)</f>
        <v>0.99124070716193036</v>
      </c>
    </row>
    <row r="35" spans="1:19" x14ac:dyDescent="0.3">
      <c r="A35" s="9"/>
      <c r="B35" s="9" t="s">
        <v>65</v>
      </c>
      <c r="C35" s="9">
        <v>3.5</v>
      </c>
      <c r="D35" s="9">
        <v>3</v>
      </c>
      <c r="E35" s="9">
        <v>0.89</v>
      </c>
      <c r="F35" s="9">
        <f t="shared" si="4"/>
        <v>-0.44500000000000001</v>
      </c>
      <c r="N35" s="1" t="s">
        <v>20</v>
      </c>
      <c r="O35" s="3">
        <f t="shared" ref="O35:O40" si="7">VLOOKUP(N35,$C$8:$J$14,8,FALSE)</f>
        <v>3.25</v>
      </c>
      <c r="P35" s="3">
        <f t="shared" si="5"/>
        <v>0.38124642583151169</v>
      </c>
      <c r="Q35" s="3">
        <f t="shared" si="6"/>
        <v>1.5</v>
      </c>
      <c r="R35" s="3">
        <f t="shared" ref="R35:R40" si="8">IF(AND(N35&lt;&gt;$I$34,Q35&gt;0),(Q35-O35),0)</f>
        <v>-1.75</v>
      </c>
      <c r="S35" s="3">
        <f t="shared" ref="S35:S40" si="9">IF(AND(N35&lt;&gt;$I$34,Q35&gt;0),P35,0)</f>
        <v>0.38124642583151169</v>
      </c>
    </row>
    <row r="36" spans="1:19" x14ac:dyDescent="0.3">
      <c r="A36" s="9"/>
      <c r="B36" s="9" t="s">
        <v>16</v>
      </c>
      <c r="C36" s="9">
        <v>2.8</v>
      </c>
      <c r="D36" s="9">
        <v>2</v>
      </c>
      <c r="E36" s="9">
        <v>0.92</v>
      </c>
      <c r="F36" s="9">
        <f t="shared" si="4"/>
        <v>-0.73599999999999988</v>
      </c>
      <c r="N36" s="1" t="s">
        <v>14</v>
      </c>
      <c r="O36" s="3">
        <f t="shared" si="7"/>
        <v>3.25</v>
      </c>
      <c r="P36" s="3">
        <f t="shared" si="5"/>
        <v>-1</v>
      </c>
      <c r="Q36" s="3">
        <f t="shared" si="6"/>
        <v>0</v>
      </c>
      <c r="R36" s="3">
        <f t="shared" si="8"/>
        <v>0</v>
      </c>
      <c r="S36" s="3">
        <f t="shared" si="9"/>
        <v>0</v>
      </c>
    </row>
    <row r="37" spans="1:19" x14ac:dyDescent="0.3">
      <c r="A37" s="9"/>
      <c r="B37" s="9"/>
      <c r="C37" s="9"/>
      <c r="D37" s="9"/>
      <c r="E37" s="9"/>
      <c r="F37" s="9"/>
      <c r="N37" s="1" t="s">
        <v>15</v>
      </c>
      <c r="O37" s="3">
        <f t="shared" si="7"/>
        <v>3.5</v>
      </c>
      <c r="P37" s="3">
        <f t="shared" si="5"/>
        <v>0.89340514744156441</v>
      </c>
      <c r="Q37" s="3">
        <f t="shared" si="6"/>
        <v>3</v>
      </c>
      <c r="R37" s="3">
        <f t="shared" si="8"/>
        <v>-0.5</v>
      </c>
      <c r="S37" s="3">
        <f t="shared" si="9"/>
        <v>0.89340514744156441</v>
      </c>
    </row>
    <row r="38" spans="1:19" x14ac:dyDescent="0.3">
      <c r="A38" s="9"/>
      <c r="B38" s="9" t="s">
        <v>9</v>
      </c>
      <c r="C38" s="9"/>
      <c r="D38" s="9"/>
      <c r="E38" s="9"/>
      <c r="F38" s="9"/>
      <c r="N38" s="1" t="s">
        <v>16</v>
      </c>
      <c r="O38" s="3">
        <f t="shared" si="7"/>
        <v>2.8333333333333335</v>
      </c>
      <c r="P38" s="3">
        <f t="shared" si="5"/>
        <v>0.92447345164190509</v>
      </c>
      <c r="Q38" s="3">
        <f t="shared" si="6"/>
        <v>2</v>
      </c>
      <c r="R38" s="3">
        <f t="shared" si="8"/>
        <v>-0.83333333333333348</v>
      </c>
      <c r="S38" s="3">
        <f t="shared" si="9"/>
        <v>0.92447345164190509</v>
      </c>
    </row>
    <row r="39" spans="1:19" x14ac:dyDescent="0.3">
      <c r="A39" s="9"/>
      <c r="B39" s="9">
        <f>SUM(F33:F36)/SUM(E33:E36)</f>
        <v>-0.58050314465408803</v>
      </c>
      <c r="C39" s="9"/>
      <c r="D39" s="9"/>
      <c r="E39" s="9"/>
      <c r="F39" s="9"/>
      <c r="N39" s="1" t="s">
        <v>17</v>
      </c>
      <c r="O39" s="3">
        <f t="shared" si="7"/>
        <v>3.7</v>
      </c>
      <c r="P39" s="3">
        <f t="shared" si="5"/>
        <v>0.66284898035987039</v>
      </c>
      <c r="Q39" s="3">
        <f t="shared" si="6"/>
        <v>0</v>
      </c>
      <c r="R39" s="3">
        <f t="shared" si="8"/>
        <v>0</v>
      </c>
      <c r="S39" s="3">
        <f t="shared" si="9"/>
        <v>0</v>
      </c>
    </row>
    <row r="40" spans="1:19" x14ac:dyDescent="0.3">
      <c r="A40" s="9"/>
      <c r="B40" s="9" t="s">
        <v>10</v>
      </c>
      <c r="C40" s="9"/>
      <c r="D40" s="9"/>
      <c r="E40" s="9"/>
      <c r="F40" s="9"/>
      <c r="N40" s="1" t="s">
        <v>18</v>
      </c>
      <c r="O40" s="3">
        <f t="shared" si="7"/>
        <v>3.1666666666666665</v>
      </c>
      <c r="P40" s="3">
        <f t="shared" si="5"/>
        <v>1</v>
      </c>
      <c r="Q40" s="3">
        <f t="shared" si="6"/>
        <v>0</v>
      </c>
      <c r="R40" s="3">
        <f t="shared" si="8"/>
        <v>0</v>
      </c>
      <c r="S40" s="3">
        <f t="shared" si="9"/>
        <v>0</v>
      </c>
    </row>
    <row r="41" spans="1:19" x14ac:dyDescent="0.3">
      <c r="A41" s="9"/>
      <c r="B41" s="9">
        <f>3.17+B39</f>
        <v>2.5894968553459119</v>
      </c>
      <c r="C41" s="9"/>
      <c r="D41" s="9"/>
      <c r="E41" s="9"/>
      <c r="F41" s="9"/>
    </row>
    <row r="42" spans="1:19" x14ac:dyDescent="0.3">
      <c r="N42" s="1" t="s">
        <v>9</v>
      </c>
      <c r="O42" s="3">
        <f>SUMPRODUCT(R34:R40,P34:P40)/SUM(S34:S40)</f>
        <v>-0.59061515832361744</v>
      </c>
    </row>
    <row r="43" spans="1:19" x14ac:dyDescent="0.3">
      <c r="N43" s="1" t="s">
        <v>10</v>
      </c>
      <c r="O43" s="3">
        <f>J34+O42</f>
        <v>2.5760515083430491</v>
      </c>
    </row>
  </sheetData>
  <dataValidations count="2">
    <dataValidation type="list" allowBlank="1" showInputMessage="1" showErrorMessage="1" sqref="I34" xr:uid="{00000000-0002-0000-0100-000000000000}">
      <formula1>$H$24:$H$30</formula1>
    </dataValidation>
    <dataValidation type="list" allowBlank="1" showInputMessage="1" showErrorMessage="1" sqref="H34" xr:uid="{00000000-0002-0000-0100-000001000000}">
      <formula1>$D$7:$I$7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09F9-4600-4A47-9AEF-FECAC084667F}">
  <dimension ref="B7:T45"/>
  <sheetViews>
    <sheetView topLeftCell="C29" zoomScale="160" zoomScaleNormal="160" workbookViewId="0">
      <selection activeCell="G41" sqref="G41"/>
    </sheetView>
  </sheetViews>
  <sheetFormatPr defaultColWidth="9.09765625" defaultRowHeight="14.4" x14ac:dyDescent="0.3"/>
  <cols>
    <col min="1" max="2" width="9.09765625" style="1"/>
    <col min="3" max="3" width="20.8984375" style="1" customWidth="1"/>
    <col min="4" max="4" width="13.296875" style="1" customWidth="1"/>
    <col min="5" max="5" width="11.3984375" style="1" customWidth="1"/>
    <col min="6" max="6" width="23.3984375" style="1" customWidth="1"/>
    <col min="7" max="7" width="16.8984375" style="1" bestFit="1" customWidth="1"/>
    <col min="8" max="8" width="11.8984375" style="1" bestFit="1" customWidth="1"/>
    <col min="9" max="9" width="7.3984375" style="1" bestFit="1" customWidth="1"/>
    <col min="10" max="10" width="6.3984375" style="1" customWidth="1"/>
    <col min="11" max="13" width="9.09765625" style="1" customWidth="1"/>
    <col min="14" max="14" width="15.09765625" style="1" customWidth="1"/>
    <col min="15" max="15" width="11.09765625" style="1" customWidth="1"/>
    <col min="16" max="16" width="12.3984375" style="1" customWidth="1"/>
    <col min="17" max="17" width="12.69921875" style="1" bestFit="1" customWidth="1"/>
    <col min="18" max="18" width="17.69921875" style="1" customWidth="1"/>
    <col min="19" max="19" width="9.09765625" style="1"/>
    <col min="20" max="20" width="11.3984375" style="1" customWidth="1"/>
    <col min="21" max="16384" width="9.09765625" style="1"/>
  </cols>
  <sheetData>
    <row r="7" spans="3:10" x14ac:dyDescent="0.3">
      <c r="D7" s="1" t="s">
        <v>19</v>
      </c>
      <c r="E7" s="1" t="s">
        <v>23</v>
      </c>
      <c r="F7" s="1" t="s">
        <v>28</v>
      </c>
      <c r="G7" s="1" t="s">
        <v>0</v>
      </c>
      <c r="H7" s="1" t="s">
        <v>27</v>
      </c>
      <c r="I7" s="1" t="s">
        <v>25</v>
      </c>
      <c r="J7" s="1" t="s">
        <v>5</v>
      </c>
    </row>
    <row r="8" spans="3:10" x14ac:dyDescent="0.3">
      <c r="C8" s="1" t="s">
        <v>13</v>
      </c>
      <c r="D8" s="1">
        <v>2.5</v>
      </c>
      <c r="E8" s="1">
        <v>3.5</v>
      </c>
      <c r="F8" s="1">
        <v>3</v>
      </c>
      <c r="G8" s="1">
        <v>3.5</v>
      </c>
      <c r="H8" s="1">
        <v>2.5</v>
      </c>
      <c r="J8" s="1">
        <f>AVERAGE(D8:I8)</f>
        <v>3</v>
      </c>
    </row>
    <row r="9" spans="3:10" x14ac:dyDescent="0.3">
      <c r="C9" s="1" t="s">
        <v>20</v>
      </c>
      <c r="D9" s="1">
        <v>3</v>
      </c>
      <c r="E9" s="1">
        <v>3.5</v>
      </c>
      <c r="F9" s="1">
        <v>1.5</v>
      </c>
      <c r="G9" s="1">
        <v>5</v>
      </c>
      <c r="H9" s="1">
        <v>3.5</v>
      </c>
      <c r="I9" s="1">
        <v>3</v>
      </c>
      <c r="J9" s="1">
        <f t="shared" ref="J9:J14" si="0">AVERAGE(D9:I9)</f>
        <v>3.25</v>
      </c>
    </row>
    <row r="10" spans="3:10" x14ac:dyDescent="0.3">
      <c r="C10" s="1" t="s">
        <v>14</v>
      </c>
      <c r="D10" s="1">
        <v>2.5</v>
      </c>
      <c r="E10" s="1">
        <v>3</v>
      </c>
      <c r="G10" s="1">
        <v>3.5</v>
      </c>
      <c r="I10" s="1">
        <v>4</v>
      </c>
      <c r="J10" s="1">
        <f t="shared" si="0"/>
        <v>3.25</v>
      </c>
    </row>
    <row r="11" spans="3:10" x14ac:dyDescent="0.3">
      <c r="C11" s="1" t="s">
        <v>15</v>
      </c>
      <c r="E11" s="1">
        <v>3.5</v>
      </c>
      <c r="F11" s="1">
        <v>3</v>
      </c>
      <c r="G11" s="1">
        <v>4</v>
      </c>
      <c r="H11" s="1">
        <v>2.5</v>
      </c>
      <c r="I11" s="1">
        <v>4.5</v>
      </c>
      <c r="J11" s="1">
        <f t="shared" si="0"/>
        <v>3.5</v>
      </c>
    </row>
    <row r="12" spans="3:10" x14ac:dyDescent="0.3">
      <c r="C12" s="1" t="s">
        <v>16</v>
      </c>
      <c r="D12" s="1">
        <v>3</v>
      </c>
      <c r="E12" s="1">
        <v>4</v>
      </c>
      <c r="F12" s="1">
        <v>2</v>
      </c>
      <c r="G12" s="1">
        <v>3</v>
      </c>
      <c r="H12" s="1">
        <v>2</v>
      </c>
      <c r="I12" s="1">
        <v>3</v>
      </c>
      <c r="J12" s="1">
        <f t="shared" si="0"/>
        <v>2.8333333333333335</v>
      </c>
    </row>
    <row r="13" spans="3:10" x14ac:dyDescent="0.3">
      <c r="C13" s="1" t="s">
        <v>17</v>
      </c>
      <c r="D13" s="1">
        <v>3</v>
      </c>
      <c r="E13" s="1">
        <v>4</v>
      </c>
      <c r="G13" s="1">
        <v>5</v>
      </c>
      <c r="H13" s="1">
        <v>3.5</v>
      </c>
      <c r="I13" s="1">
        <v>3</v>
      </c>
      <c r="J13" s="1">
        <f t="shared" si="0"/>
        <v>3.7</v>
      </c>
    </row>
    <row r="14" spans="3:10" x14ac:dyDescent="0.3">
      <c r="C14" s="1" t="s">
        <v>18</v>
      </c>
      <c r="E14" s="1">
        <v>4.5</v>
      </c>
      <c r="G14" s="1">
        <v>4</v>
      </c>
      <c r="H14" s="1">
        <v>1</v>
      </c>
      <c r="J14" s="1">
        <f t="shared" si="0"/>
        <v>3.1666666666666665</v>
      </c>
    </row>
    <row r="15" spans="3:10" x14ac:dyDescent="0.3">
      <c r="D15" s="1">
        <v>1</v>
      </c>
      <c r="E15" s="1">
        <v>2</v>
      </c>
      <c r="F15" s="1">
        <v>3</v>
      </c>
      <c r="G15" s="1">
        <v>4</v>
      </c>
      <c r="H15" s="1">
        <v>5</v>
      </c>
      <c r="I15" s="1">
        <v>6</v>
      </c>
    </row>
    <row r="16" spans="3:10" x14ac:dyDescent="0.3">
      <c r="C16" s="14" t="s">
        <v>28</v>
      </c>
      <c r="D16" s="14">
        <f>IF(INDEX($D$8:$I$14,D$15,MATCH($C16,$D$7:$I$7,0))=0,"-",INDEX($D$8:$I$14,D$15,MATCH($C16,$D$7:$I$7,0)))</f>
        <v>3</v>
      </c>
      <c r="E16" s="14">
        <f t="shared" ref="E16:I17" si="1">IF(INDEX($D$8:$I$14,E$15,MATCH($C16,$D$7:$I$7,0))=0,"-",INDEX($D$8:$I$14,E$15,MATCH($C16,$D$7:$I$7,0)))</f>
        <v>1.5</v>
      </c>
      <c r="F16" s="14" t="str">
        <f t="shared" si="1"/>
        <v>-</v>
      </c>
      <c r="G16" s="14">
        <f t="shared" si="1"/>
        <v>3</v>
      </c>
      <c r="H16" s="14">
        <f t="shared" si="1"/>
        <v>2</v>
      </c>
      <c r="I16" s="1" t="str">
        <f t="shared" si="1"/>
        <v>-</v>
      </c>
    </row>
    <row r="17" spans="2:20" x14ac:dyDescent="0.3">
      <c r="C17" s="14" t="s">
        <v>0</v>
      </c>
      <c r="D17" s="14">
        <f>IF(INDEX($D$8:$I$14,D$15,MATCH($C17,$D$7:$I$7,0))=0,"-",INDEX($D$8:$I$14,D$15,MATCH($C17,$D$7:$I$7,0)))</f>
        <v>3.5</v>
      </c>
      <c r="E17" s="14">
        <f t="shared" si="1"/>
        <v>5</v>
      </c>
      <c r="F17" s="14">
        <f t="shared" si="1"/>
        <v>3.5</v>
      </c>
      <c r="G17" s="14">
        <f t="shared" si="1"/>
        <v>4</v>
      </c>
      <c r="H17" s="14">
        <f t="shared" si="1"/>
        <v>3</v>
      </c>
      <c r="I17" s="1">
        <f t="shared" si="1"/>
        <v>5</v>
      </c>
    </row>
    <row r="18" spans="2:20" x14ac:dyDescent="0.3">
      <c r="C18" s="14" t="str">
        <f>C16</f>
        <v>Still Alice</v>
      </c>
      <c r="D18" s="14">
        <f>IF(OR(D$16="-",D$17="-"),"-",D16)</f>
        <v>3</v>
      </c>
      <c r="E18" s="14">
        <f t="shared" ref="E18:I19" si="2">IF(OR(E$16="-",E$17="-"),"-",E16)</f>
        <v>1.5</v>
      </c>
      <c r="F18" s="14" t="str">
        <f t="shared" si="2"/>
        <v>-</v>
      </c>
      <c r="G18" s="14">
        <f t="shared" si="2"/>
        <v>3</v>
      </c>
      <c r="H18" s="14">
        <f t="shared" si="2"/>
        <v>2</v>
      </c>
      <c r="I18" s="1" t="str">
        <f t="shared" si="2"/>
        <v>-</v>
      </c>
      <c r="N18" s="2"/>
      <c r="P18" s="2"/>
      <c r="R18" s="2"/>
    </row>
    <row r="19" spans="2:20" x14ac:dyDescent="0.3">
      <c r="C19" s="14" t="str">
        <f>C17</f>
        <v>Superman</v>
      </c>
      <c r="D19" s="14">
        <f>IF(OR(D$16="-",D$17="-"),"-",D17)</f>
        <v>3.5</v>
      </c>
      <c r="E19" s="14">
        <f t="shared" si="2"/>
        <v>5</v>
      </c>
      <c r="F19" s="14" t="str">
        <f t="shared" si="2"/>
        <v>-</v>
      </c>
      <c r="G19" s="14">
        <f t="shared" si="2"/>
        <v>4</v>
      </c>
      <c r="H19" s="14">
        <f t="shared" si="2"/>
        <v>3</v>
      </c>
      <c r="I19" s="1" t="str">
        <f t="shared" si="2"/>
        <v>-</v>
      </c>
      <c r="N19" s="2"/>
      <c r="P19" s="2"/>
      <c r="R19" s="2"/>
    </row>
    <row r="21" spans="2:20" ht="43.2" x14ac:dyDescent="0.3">
      <c r="D21" s="7" t="s">
        <v>29</v>
      </c>
      <c r="N21" s="1">
        <f>sum1_</f>
        <v>-0.42289003161103106</v>
      </c>
      <c r="O21" s="1" t="s">
        <v>19</v>
      </c>
      <c r="P21" s="1" t="s">
        <v>23</v>
      </c>
      <c r="Q21" s="1" t="s">
        <v>28</v>
      </c>
      <c r="R21" s="1" t="s">
        <v>0</v>
      </c>
      <c r="S21" s="1" t="s">
        <v>27</v>
      </c>
      <c r="T21" s="1" t="s">
        <v>25</v>
      </c>
    </row>
    <row r="22" spans="2:20" x14ac:dyDescent="0.3">
      <c r="D22" s="3">
        <f>CORREL(D18:I18,D19:I19)</f>
        <v>-0.42289003161103106</v>
      </c>
      <c r="N22" s="1" t="s">
        <v>19</v>
      </c>
      <c r="O22" s="3">
        <f t="dataTable" ref="O22:T27" dt2D="1" dtr="1" r1="C16" r2="C17"/>
        <v>1</v>
      </c>
      <c r="P22" s="3">
        <v>0.76376261582597338</v>
      </c>
      <c r="Q22" s="3">
        <v>-0.94491118252306805</v>
      </c>
      <c r="R22" s="3">
        <v>0.4879500364742666</v>
      </c>
      <c r="S22" s="3">
        <v>0.33333333333333331</v>
      </c>
      <c r="T22" s="3">
        <v>-1.0000000000000002</v>
      </c>
    </row>
    <row r="23" spans="2:20" x14ac:dyDescent="0.3">
      <c r="N23" s="1" t="s">
        <v>23</v>
      </c>
      <c r="O23" s="3">
        <v>0.76376261582597338</v>
      </c>
      <c r="P23" s="3">
        <v>0.99999999999999989</v>
      </c>
      <c r="Q23" s="3">
        <v>-0.33333333333333331</v>
      </c>
      <c r="R23" s="3">
        <v>0.15877683720748895</v>
      </c>
      <c r="S23" s="3">
        <v>-6.8041381743977114E-2</v>
      </c>
      <c r="T23" s="3">
        <v>-0.63386569104638746</v>
      </c>
    </row>
    <row r="24" spans="2:20" x14ac:dyDescent="0.3">
      <c r="N24" s="1" t="s">
        <v>28</v>
      </c>
      <c r="O24" s="3">
        <v>-0.94491118252306805</v>
      </c>
      <c r="P24" s="3">
        <v>-0.33333333333333331</v>
      </c>
      <c r="Q24" s="3">
        <v>1</v>
      </c>
      <c r="R24" s="3">
        <v>-0.42289003161103106</v>
      </c>
      <c r="S24" s="3">
        <v>-0.48566186425718266</v>
      </c>
      <c r="T24" s="3">
        <v>0.94491118252306805</v>
      </c>
    </row>
    <row r="25" spans="2:20" x14ac:dyDescent="0.3">
      <c r="D25" s="1" t="s">
        <v>30</v>
      </c>
      <c r="N25" s="1" t="s">
        <v>0</v>
      </c>
      <c r="O25" s="3">
        <v>0.4879500364742666</v>
      </c>
      <c r="P25" s="3">
        <v>0.15877683720748895</v>
      </c>
      <c r="Q25" s="3">
        <v>-0.42289003161103106</v>
      </c>
      <c r="R25" s="3">
        <v>1</v>
      </c>
      <c r="S25" s="3">
        <v>0.97916666666666674</v>
      </c>
      <c r="T25" s="3">
        <v>-0.29646353064078551</v>
      </c>
    </row>
    <row r="26" spans="2:20" x14ac:dyDescent="0.3">
      <c r="B26" s="1" t="s">
        <v>4</v>
      </c>
      <c r="C26" s="1" t="s">
        <v>18</v>
      </c>
      <c r="D26" s="3">
        <f>VLOOKUP(C26,C8:J14,8,FALSE)</f>
        <v>3.1666666666666665</v>
      </c>
      <c r="N26" s="1" t="s">
        <v>27</v>
      </c>
      <c r="O26" s="3">
        <v>0.33333333333333331</v>
      </c>
      <c r="P26" s="3">
        <v>-6.8041381743977114E-2</v>
      </c>
      <c r="Q26" s="3">
        <v>-0.48566186425718266</v>
      </c>
      <c r="R26" s="3">
        <v>0.97916666666666674</v>
      </c>
      <c r="S26" s="3">
        <v>1</v>
      </c>
      <c r="T26" s="3">
        <v>-0.33333333333333331</v>
      </c>
    </row>
    <row r="27" spans="2:20" x14ac:dyDescent="0.3">
      <c r="B27" s="1" t="s">
        <v>31</v>
      </c>
      <c r="C27" s="1" t="s">
        <v>28</v>
      </c>
      <c r="N27" s="1" t="s">
        <v>25</v>
      </c>
      <c r="O27" s="3">
        <v>-1.0000000000000002</v>
      </c>
      <c r="P27" s="3">
        <v>-0.63386569104638746</v>
      </c>
      <c r="Q27" s="3">
        <v>0.94491118252306805</v>
      </c>
      <c r="R27" s="3">
        <v>-0.29646353064078551</v>
      </c>
      <c r="S27" s="3">
        <v>-0.33333333333333331</v>
      </c>
      <c r="T27" s="3">
        <v>1</v>
      </c>
    </row>
    <row r="28" spans="2:20" x14ac:dyDescent="0.3">
      <c r="E28" s="1" t="s">
        <v>32</v>
      </c>
      <c r="F28" s="1" t="s">
        <v>22</v>
      </c>
      <c r="G28" s="1" t="s">
        <v>33</v>
      </c>
      <c r="H28" s="1" t="s">
        <v>34</v>
      </c>
    </row>
    <row r="29" spans="2:20" x14ac:dyDescent="0.3">
      <c r="C29" s="1">
        <v>1</v>
      </c>
      <c r="D29" s="1" t="s">
        <v>19</v>
      </c>
      <c r="E29" s="1">
        <f>INDEX($D$8:$I$14,MATCH($C$26,$C$8:$C$14,0),MATCH($D29,$D$7:$I$7,0))</f>
        <v>0</v>
      </c>
      <c r="F29" s="3">
        <f t="shared" ref="F29:F34" si="3">IF(E29=0,0,INDEX($O$22:$T$27,MATCH($C$27,$O$21:$T$21,0),MATCH(D29,$O$21:$T$21,0)))</f>
        <v>0</v>
      </c>
      <c r="G29" s="3">
        <f>IF(E29=0,0,E29-$D$26)</f>
        <v>0</v>
      </c>
      <c r="H29" s="3">
        <f>ABS(F29)</f>
        <v>0</v>
      </c>
    </row>
    <row r="30" spans="2:20" x14ac:dyDescent="0.3">
      <c r="C30" s="1">
        <v>2</v>
      </c>
      <c r="D30" s="1" t="s">
        <v>23</v>
      </c>
      <c r="E30" s="1">
        <f t="shared" ref="E30:E34" si="4">INDEX($D$8:$I$14,MATCH($C$26,$C$8:$C$14,0),MATCH($D30,$D$7:$I$7,0))</f>
        <v>4.5</v>
      </c>
      <c r="F30" s="3">
        <f t="shared" si="3"/>
        <v>-0.33333333333333331</v>
      </c>
      <c r="G30" s="3">
        <f t="shared" ref="G30:G34" si="5">IF(E30=0,0,E30-$D$26)</f>
        <v>1.3333333333333335</v>
      </c>
      <c r="H30" s="3">
        <f t="shared" ref="H30:H34" si="6">ABS(F30)</f>
        <v>0.33333333333333331</v>
      </c>
    </row>
    <row r="31" spans="2:20" x14ac:dyDescent="0.3">
      <c r="C31" s="1">
        <v>3</v>
      </c>
      <c r="D31" s="1" t="s">
        <v>28</v>
      </c>
      <c r="E31" s="1">
        <f t="shared" si="4"/>
        <v>0</v>
      </c>
      <c r="F31" s="3">
        <f t="shared" si="3"/>
        <v>0</v>
      </c>
      <c r="G31" s="3">
        <f t="shared" si="5"/>
        <v>0</v>
      </c>
      <c r="H31" s="3">
        <f t="shared" si="6"/>
        <v>0</v>
      </c>
    </row>
    <row r="32" spans="2:20" x14ac:dyDescent="0.3">
      <c r="C32" s="1">
        <v>4</v>
      </c>
      <c r="D32" s="1" t="s">
        <v>0</v>
      </c>
      <c r="E32" s="1">
        <f t="shared" si="4"/>
        <v>4</v>
      </c>
      <c r="F32" s="3">
        <f t="shared" si="3"/>
        <v>-0.42289003161103106</v>
      </c>
      <c r="G32" s="3">
        <f t="shared" si="5"/>
        <v>0.83333333333333348</v>
      </c>
      <c r="H32" s="3">
        <f t="shared" si="6"/>
        <v>0.42289003161103106</v>
      </c>
    </row>
    <row r="33" spans="3:8" x14ac:dyDescent="0.3">
      <c r="C33" s="1">
        <v>5</v>
      </c>
      <c r="D33" s="1" t="s">
        <v>27</v>
      </c>
      <c r="E33" s="1">
        <f t="shared" si="4"/>
        <v>1</v>
      </c>
      <c r="F33" s="3">
        <f t="shared" si="3"/>
        <v>-0.48566186425718266</v>
      </c>
      <c r="G33" s="3">
        <f t="shared" si="5"/>
        <v>-2.1666666666666665</v>
      </c>
      <c r="H33" s="3">
        <f t="shared" si="6"/>
        <v>0.48566186425718266</v>
      </c>
    </row>
    <row r="34" spans="3:8" x14ac:dyDescent="0.3">
      <c r="C34" s="1">
        <v>6</v>
      </c>
      <c r="D34" s="1" t="s">
        <v>25</v>
      </c>
      <c r="E34" s="1">
        <f t="shared" si="4"/>
        <v>0</v>
      </c>
      <c r="F34" s="3">
        <f t="shared" si="3"/>
        <v>0</v>
      </c>
      <c r="G34" s="3">
        <f t="shared" si="5"/>
        <v>0</v>
      </c>
      <c r="H34" s="3">
        <f t="shared" si="6"/>
        <v>0</v>
      </c>
    </row>
    <row r="35" spans="3:8" x14ac:dyDescent="0.3">
      <c r="C35" s="9"/>
      <c r="D35" s="9"/>
      <c r="E35" s="9"/>
      <c r="F35" s="9"/>
      <c r="G35" s="9"/>
      <c r="H35" s="9"/>
    </row>
    <row r="36" spans="3:8" x14ac:dyDescent="0.3">
      <c r="C36" s="9" t="s">
        <v>8</v>
      </c>
      <c r="D36" s="11">
        <f>SUMPRODUCT(G29:G34,F29:F34)/SUM(H29:H34)</f>
        <v>0.20566680594239825</v>
      </c>
      <c r="E36" s="9" t="str">
        <f ca="1">_xlfn.FORMULATEXT(D36)</f>
        <v>=SUMPRODUCT(G29:G34,F29:F34)/SUM(H29:H34)</v>
      </c>
      <c r="F36" s="9"/>
      <c r="G36" s="9"/>
      <c r="H36" s="9"/>
    </row>
    <row r="37" spans="3:8" x14ac:dyDescent="0.3">
      <c r="C37" s="9" t="s">
        <v>35</v>
      </c>
      <c r="D37" s="11">
        <f>D26+D36</f>
        <v>3.3723334726090646</v>
      </c>
      <c r="E37" s="9" t="str">
        <f ca="1">_xlfn.FORMULATEXT(D37)</f>
        <v>=D26+D36</v>
      </c>
      <c r="F37" s="9"/>
      <c r="G37" s="9"/>
      <c r="H37" s="9"/>
    </row>
    <row r="38" spans="3:8" x14ac:dyDescent="0.3">
      <c r="C38" s="9" t="s">
        <v>66</v>
      </c>
      <c r="D38" s="9"/>
      <c r="E38" s="9"/>
      <c r="F38" s="9" t="s">
        <v>75</v>
      </c>
      <c r="G38" s="9" t="s">
        <v>76</v>
      </c>
      <c r="H38" s="9" t="s">
        <v>8</v>
      </c>
    </row>
    <row r="39" spans="3:8" x14ac:dyDescent="0.3">
      <c r="C39" s="9" t="s">
        <v>67</v>
      </c>
      <c r="D39" s="9"/>
      <c r="E39" s="9" t="s">
        <v>23</v>
      </c>
      <c r="F39" s="9">
        <v>-0.33</v>
      </c>
      <c r="G39" s="9">
        <v>4.5</v>
      </c>
      <c r="H39" s="9">
        <f>(G39-3.17)*F39</f>
        <v>-0.43890000000000007</v>
      </c>
    </row>
    <row r="40" spans="3:8" x14ac:dyDescent="0.3">
      <c r="C40" s="9" t="s">
        <v>68</v>
      </c>
      <c r="D40" s="9"/>
      <c r="E40" s="9" t="s">
        <v>0</v>
      </c>
      <c r="F40" s="9">
        <v>-0.42</v>
      </c>
      <c r="G40" s="9">
        <v>4</v>
      </c>
      <c r="H40" s="9">
        <f t="shared" ref="H40:H41" si="7">(G40-3.17)*F40</f>
        <v>-0.34860000000000002</v>
      </c>
    </row>
    <row r="41" spans="3:8" x14ac:dyDescent="0.3">
      <c r="C41" s="9" t="s">
        <v>69</v>
      </c>
      <c r="D41" s="9"/>
      <c r="E41" s="9" t="s">
        <v>74</v>
      </c>
      <c r="F41" s="9">
        <v>-0.49</v>
      </c>
      <c r="G41" s="9">
        <v>1</v>
      </c>
      <c r="H41" s="9">
        <f t="shared" si="7"/>
        <v>1.0632999999999999</v>
      </c>
    </row>
    <row r="42" spans="3:8" x14ac:dyDescent="0.3">
      <c r="C42" s="9" t="s">
        <v>70</v>
      </c>
      <c r="D42" s="9"/>
      <c r="E42" s="9"/>
      <c r="F42" s="9"/>
      <c r="G42" s="9"/>
      <c r="H42" s="9"/>
    </row>
    <row r="43" spans="3:8" x14ac:dyDescent="0.3">
      <c r="C43" s="9" t="s">
        <v>71</v>
      </c>
      <c r="D43" s="9"/>
      <c r="E43" s="9"/>
      <c r="F43" s="9" t="s">
        <v>77</v>
      </c>
      <c r="G43" s="9" t="s">
        <v>10</v>
      </c>
      <c r="H43" s="9"/>
    </row>
    <row r="44" spans="3:8" x14ac:dyDescent="0.3">
      <c r="C44" s="9" t="s">
        <v>72</v>
      </c>
      <c r="D44" s="9"/>
      <c r="E44" s="9"/>
      <c r="F44" s="9">
        <f>SUM(H39:H41)/(ABS(F39)+ABS(F40)+ABS(F41))</f>
        <v>0.22241935483870953</v>
      </c>
      <c r="G44" s="9">
        <f>3.17+F44</f>
        <v>3.3924193548387094</v>
      </c>
      <c r="H44" s="9"/>
    </row>
    <row r="45" spans="3:8" x14ac:dyDescent="0.3">
      <c r="C45" s="9" t="s">
        <v>73</v>
      </c>
      <c r="D45" s="9"/>
      <c r="E45" s="9"/>
      <c r="F45" s="9"/>
      <c r="G45" s="9"/>
      <c r="H45" s="9"/>
    </row>
  </sheetData>
  <dataValidations count="3">
    <dataValidation type="list" allowBlank="1" showInputMessage="1" showErrorMessage="1" sqref="I34" xr:uid="{9DCC409B-F71A-4579-89F9-F8586FD0EB8A}">
      <formula1>$H$24:$H$30</formula1>
    </dataValidation>
    <dataValidation type="list" allowBlank="1" showInputMessage="1" showErrorMessage="1" sqref="C27 C16:C17" xr:uid="{6721CE45-F0E2-41E0-9337-53061FEFB046}">
      <formula1>$D$7:$I$7</formula1>
    </dataValidation>
    <dataValidation type="list" allowBlank="1" showInputMessage="1" showErrorMessage="1" sqref="C26" xr:uid="{76C76433-078E-4EC5-9A0B-777C8B82A64B}">
      <formula1>$C$8:$C$14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46</vt:i4>
      </vt:variant>
    </vt:vector>
  </HeadingPairs>
  <TitlesOfParts>
    <vt:vector size="51" baseType="lpstr">
      <vt:lpstr>Notes</vt:lpstr>
      <vt:lpstr>Userbased</vt:lpstr>
      <vt:lpstr>Item based</vt:lpstr>
      <vt:lpstr>Sheet2</vt:lpstr>
      <vt:lpstr>Sheet3</vt:lpstr>
      <vt:lpstr>'Item based'!Claudia</vt:lpstr>
      <vt:lpstr>Claudia</vt:lpstr>
      <vt:lpstr>'Item based'!common</vt:lpstr>
      <vt:lpstr>common</vt:lpstr>
      <vt:lpstr>correl</vt:lpstr>
      <vt:lpstr>'Item based'!correlations</vt:lpstr>
      <vt:lpstr>correlations</vt:lpstr>
      <vt:lpstr>'Item based'!den</vt:lpstr>
      <vt:lpstr>den</vt:lpstr>
      <vt:lpstr>'Item based'!Dupree</vt:lpstr>
      <vt:lpstr>Dupree</vt:lpstr>
      <vt:lpstr>'Item based'!Gene</vt:lpstr>
      <vt:lpstr>Gene</vt:lpstr>
      <vt:lpstr>'Item based'!Jack</vt:lpstr>
      <vt:lpstr>Jack</vt:lpstr>
      <vt:lpstr>'Item based'!Lady</vt:lpstr>
      <vt:lpstr>Lady</vt:lpstr>
      <vt:lpstr>'Item based'!Lisa</vt:lpstr>
      <vt:lpstr>Lisa</vt:lpstr>
      <vt:lpstr>'Item based'!Listener</vt:lpstr>
      <vt:lpstr>Listener</vt:lpstr>
      <vt:lpstr>'Item based'!Luck</vt:lpstr>
      <vt:lpstr>Luck</vt:lpstr>
      <vt:lpstr>'Item based'!Mike</vt:lpstr>
      <vt:lpstr>Mike</vt:lpstr>
      <vt:lpstr>'Item based'!Nick</vt:lpstr>
      <vt:lpstr>Nick</vt:lpstr>
      <vt:lpstr>'Item based'!num</vt:lpstr>
      <vt:lpstr>num</vt:lpstr>
      <vt:lpstr>psum</vt:lpstr>
      <vt:lpstr>'Item based'!ratings</vt:lpstr>
      <vt:lpstr>ratings</vt:lpstr>
      <vt:lpstr>'Item based'!Snakes</vt:lpstr>
      <vt:lpstr>Snakes</vt:lpstr>
      <vt:lpstr>'Item based'!sum1_</vt:lpstr>
      <vt:lpstr>sum1_</vt:lpstr>
      <vt:lpstr>'Item based'!sum1sq</vt:lpstr>
      <vt:lpstr>sum1sq</vt:lpstr>
      <vt:lpstr>'Item based'!sum2_</vt:lpstr>
      <vt:lpstr>sum2_</vt:lpstr>
      <vt:lpstr>'Item based'!sum2sq</vt:lpstr>
      <vt:lpstr>sum2sq</vt:lpstr>
      <vt:lpstr>'Item based'!Superman</vt:lpstr>
      <vt:lpstr>Superman</vt:lpstr>
      <vt:lpstr>'Item based'!Toby</vt:lpstr>
      <vt:lpstr>Toby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</dc:creator>
  <cp:lastModifiedBy>Owner</cp:lastModifiedBy>
  <dcterms:created xsi:type="dcterms:W3CDTF">2011-08-24T01:10:00Z</dcterms:created>
  <dcterms:modified xsi:type="dcterms:W3CDTF">2020-07-30T21:07:38Z</dcterms:modified>
</cp:coreProperties>
</file>