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Videos\"/>
    </mc:Choice>
  </mc:AlternateContent>
  <bookViews>
    <workbookView xWindow="0" yWindow="0" windowWidth="19200" windowHeight="6950"/>
  </bookViews>
  <sheets>
    <sheet name="cycle service level" sheetId="1" r:id="rId1"/>
    <sheet name="Needed reorder point" sheetId="2" r:id="rId2"/>
    <sheet name="Fill Rate" sheetId="4" r:id="rId3"/>
    <sheet name="Reorder pt for fill rate" sheetId="5" r:id="rId4"/>
    <sheet name="Reorder point LT not known" sheetId="6" r:id="rId5"/>
    <sheet name="Aggregation" sheetId="8" r:id="rId6"/>
    <sheet name="Centralization" sheetId="9" r:id="rId7"/>
    <sheet name="CV and Aggregation" sheetId="10" r:id="rId8"/>
    <sheet name="Postponement" sheetId="11" r:id="rId9"/>
    <sheet name="Periodic Review" sheetId="12" r:id="rId10"/>
  </sheets>
  <definedNames>
    <definedName name="solver_adj" localSheetId="4" hidden="1">'Reorder point LT not known'!$B$7</definedName>
    <definedName name="solver_adj" localSheetId="3" hidden="1">'Reorder pt for fill rate'!$B$7</definedName>
    <definedName name="solver_cvg" localSheetId="4" hidden="1">0.0001</definedName>
    <definedName name="solver_cvg" localSheetId="3" hidden="1">0.0001</definedName>
    <definedName name="solver_drv" localSheetId="4" hidden="1">1</definedName>
    <definedName name="solver_drv" localSheetId="3" hidden="1">1</definedName>
    <definedName name="solver_eng" localSheetId="4" hidden="1">1</definedName>
    <definedName name="solver_eng" localSheetId="3" hidden="1">1</definedName>
    <definedName name="solver_est" localSheetId="4" hidden="1">1</definedName>
    <definedName name="solver_est" localSheetId="3" hidden="1">1</definedName>
    <definedName name="solver_itr" localSheetId="4" hidden="1">2147483647</definedName>
    <definedName name="solver_itr" localSheetId="3" hidden="1">2147483647</definedName>
    <definedName name="solver_lhs1" localSheetId="4" hidden="1">'Reorder point LT not known'!$B$16</definedName>
    <definedName name="solver_lhs1" localSheetId="3" hidden="1">'Reorder pt for fill rate'!$B$15</definedName>
    <definedName name="solver_mip" localSheetId="4" hidden="1">2147483647</definedName>
    <definedName name="solver_mip" localSheetId="3" hidden="1">2147483647</definedName>
    <definedName name="solver_mni" localSheetId="4" hidden="1">30</definedName>
    <definedName name="solver_mni" localSheetId="3" hidden="1">30</definedName>
    <definedName name="solver_mrt" localSheetId="4" hidden="1">0.075</definedName>
    <definedName name="solver_mrt" localSheetId="3" hidden="1">0.075</definedName>
    <definedName name="solver_msl" localSheetId="4" hidden="1">2</definedName>
    <definedName name="solver_msl" localSheetId="3" hidden="1">2</definedName>
    <definedName name="solver_neg" localSheetId="4" hidden="1">1</definedName>
    <definedName name="solver_neg" localSheetId="3" hidden="1">1</definedName>
    <definedName name="solver_nod" localSheetId="4" hidden="1">2147483647</definedName>
    <definedName name="solver_nod" localSheetId="3" hidden="1">2147483647</definedName>
    <definedName name="solver_num" localSheetId="4" hidden="1">1</definedName>
    <definedName name="solver_num" localSheetId="3" hidden="1">1</definedName>
    <definedName name="solver_nwt" localSheetId="4" hidden="1">1</definedName>
    <definedName name="solver_nwt" localSheetId="3" hidden="1">1</definedName>
    <definedName name="solver_opt" localSheetId="4" hidden="1">'Reorder point LT not known'!$B$7</definedName>
    <definedName name="solver_opt" localSheetId="3" hidden="1">'Reorder pt for fill rate'!$B$7</definedName>
    <definedName name="solver_pre" localSheetId="4" hidden="1">0.000001</definedName>
    <definedName name="solver_pre" localSheetId="3" hidden="1">0.000001</definedName>
    <definedName name="solver_rbv" localSheetId="4" hidden="1">1</definedName>
    <definedName name="solver_rbv" localSheetId="3" hidden="1">1</definedName>
    <definedName name="solver_rel1" localSheetId="4" hidden="1">2</definedName>
    <definedName name="solver_rel1" localSheetId="3" hidden="1">2</definedName>
    <definedName name="solver_rhs1" localSheetId="4" hidden="1">0.975</definedName>
    <definedName name="solver_rhs1" localSheetId="3" hidden="1">0.975</definedName>
    <definedName name="solver_rlx" localSheetId="4" hidden="1">2</definedName>
    <definedName name="solver_rlx" localSheetId="3" hidden="1">2</definedName>
    <definedName name="solver_rsd" localSheetId="4" hidden="1">0</definedName>
    <definedName name="solver_rsd" localSheetId="3" hidden="1">0</definedName>
    <definedName name="solver_scl" localSheetId="4" hidden="1">1</definedName>
    <definedName name="solver_scl" localSheetId="3" hidden="1">1</definedName>
    <definedName name="solver_sho" localSheetId="4" hidden="1">2</definedName>
    <definedName name="solver_sho" localSheetId="3" hidden="1">2</definedName>
    <definedName name="solver_ssz" localSheetId="4" hidden="1">100</definedName>
    <definedName name="solver_ssz" localSheetId="3" hidden="1">100</definedName>
    <definedName name="solver_tim" localSheetId="4" hidden="1">2147483647</definedName>
    <definedName name="solver_tim" localSheetId="3" hidden="1">2147483647</definedName>
    <definedName name="solver_tol" localSheetId="4" hidden="1">0.01</definedName>
    <definedName name="solver_tol" localSheetId="3" hidden="1">0.01</definedName>
    <definedName name="solver_typ" localSheetId="4" hidden="1">2</definedName>
    <definedName name="solver_typ" localSheetId="3" hidden="1">2</definedName>
    <definedName name="solver_val" localSheetId="4" hidden="1">0</definedName>
    <definedName name="solver_val" localSheetId="3" hidden="1">0</definedName>
    <definedName name="solver_ver" localSheetId="4" hidden="1">3</definedName>
    <definedName name="solver_ver" localSheetId="3" hidden="1">3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9" i="1" l="1"/>
  <c r="C7" i="2"/>
  <c r="C14" i="1"/>
  <c r="C12" i="1"/>
  <c r="C9" i="1"/>
  <c r="C13" i="12" l="1"/>
  <c r="C12" i="12" l="1"/>
  <c r="C11" i="12"/>
  <c r="C10" i="12"/>
  <c r="B19" i="11"/>
  <c r="B18" i="11"/>
  <c r="B17" i="11"/>
  <c r="B16" i="11"/>
  <c r="B13" i="11"/>
  <c r="B12" i="11"/>
  <c r="B10" i="11"/>
  <c r="B9" i="11"/>
  <c r="B11" i="11"/>
  <c r="D35" i="10"/>
  <c r="C35" i="10"/>
  <c r="D34" i="10"/>
  <c r="C34" i="10"/>
  <c r="D33" i="10"/>
  <c r="C33" i="10"/>
  <c r="D26" i="10"/>
  <c r="C26" i="10"/>
  <c r="D29" i="10"/>
  <c r="C29" i="10"/>
  <c r="D24" i="10"/>
  <c r="C24" i="10"/>
  <c r="D23" i="10"/>
  <c r="D25" i="10" s="1"/>
  <c r="C23" i="10"/>
  <c r="C25" i="10" s="1"/>
  <c r="D21" i="10"/>
  <c r="C21" i="10"/>
  <c r="D20" i="10"/>
  <c r="C20" i="10"/>
  <c r="D19" i="10"/>
  <c r="C19" i="10"/>
  <c r="D14" i="10"/>
  <c r="D8" i="10"/>
  <c r="D10" i="10" s="1"/>
  <c r="D11" i="10" s="1"/>
  <c r="D9" i="10"/>
  <c r="D5" i="10"/>
  <c r="C8" i="10"/>
  <c r="C14" i="10"/>
  <c r="B31" i="9"/>
  <c r="B30" i="9"/>
  <c r="B28" i="9"/>
  <c r="B29" i="9"/>
  <c r="B27" i="9"/>
  <c r="B24" i="9"/>
  <c r="B21" i="9"/>
  <c r="B23" i="9" s="1"/>
  <c r="B22" i="9"/>
  <c r="B18" i="9"/>
  <c r="B17" i="9"/>
  <c r="B16" i="9"/>
  <c r="B15" i="9"/>
  <c r="L16" i="8"/>
  <c r="H7" i="8"/>
  <c r="H8" i="8" s="1"/>
  <c r="H9" i="8" s="1"/>
  <c r="L5" i="8" s="1"/>
  <c r="H17" i="8"/>
  <c r="H16" i="8"/>
  <c r="H15" i="8"/>
  <c r="H14" i="8"/>
  <c r="H13" i="8"/>
  <c r="H6" i="8"/>
  <c r="G1" i="8"/>
  <c r="D30" i="10" l="1"/>
  <c r="C30" i="10"/>
  <c r="D15" i="10"/>
  <c r="B13" i="6"/>
  <c r="B7" i="6" s="1"/>
  <c r="B12" i="6"/>
  <c r="B12" i="5"/>
  <c r="B11" i="5"/>
  <c r="B9" i="5"/>
  <c r="B14" i="5" s="1"/>
  <c r="B15" i="5" s="1"/>
  <c r="B15" i="4"/>
  <c r="B14" i="4"/>
  <c r="B12" i="4"/>
  <c r="B11" i="4"/>
  <c r="B9" i="4" s="1"/>
  <c r="B9" i="2"/>
  <c r="B7" i="2"/>
  <c r="B12" i="2"/>
  <c r="B11" i="2"/>
  <c r="B14" i="1"/>
  <c r="B12" i="1"/>
  <c r="B11" i="1"/>
  <c r="C13" i="6"/>
  <c r="B10" i="6" l="1"/>
  <c r="I5" i="6" s="1"/>
  <c r="C5" i="10" l="1"/>
  <c r="C9" i="10" s="1"/>
  <c r="C10" i="10" s="1"/>
  <c r="C11" i="10" s="1"/>
  <c r="C15" i="10" s="1"/>
</calcChain>
</file>

<file path=xl/sharedStrings.xml><?xml version="1.0" encoding="utf-8"?>
<sst xmlns="http://schemas.openxmlformats.org/spreadsheetml/2006/main" count="202" uniqueCount="134">
  <si>
    <t>Cycle Inventory</t>
  </si>
  <si>
    <t>weekly demand</t>
  </si>
  <si>
    <t>mean</t>
  </si>
  <si>
    <t>sigma</t>
  </si>
  <si>
    <t>reorderpoint</t>
  </si>
  <si>
    <t>leadtime</t>
  </si>
  <si>
    <t>Leadtime demand</t>
  </si>
  <si>
    <t>leadtime mean</t>
  </si>
  <si>
    <t>leadtime sigma</t>
  </si>
  <si>
    <t>Chance in stock during cycle</t>
  </si>
  <si>
    <t>92% of cycles we do not run out</t>
  </si>
  <si>
    <t>Given reorder point determine Cycle Service Level</t>
  </si>
  <si>
    <t>Given Cycle Service Level</t>
  </si>
  <si>
    <t>determine reorder point and safety stock</t>
  </si>
  <si>
    <t>We want 90% Service Level</t>
  </si>
  <si>
    <t>Use NORM.INV function</t>
  </si>
  <si>
    <t>safety stock</t>
  </si>
  <si>
    <t>Expected Shortage per Cycle</t>
  </si>
  <si>
    <t>Order Quantity</t>
  </si>
  <si>
    <t>Fill Rate</t>
  </si>
  <si>
    <t>Given reorder point</t>
  </si>
  <si>
    <t>determine fraction of all demand met on time</t>
  </si>
  <si>
    <t>Reorder Point for</t>
  </si>
  <si>
    <t>Reorder point</t>
  </si>
  <si>
    <t>and safety stock needed</t>
  </si>
  <si>
    <t>for desired fill rate</t>
  </si>
  <si>
    <t>Want 97.5% Fill Rate</t>
  </si>
  <si>
    <t>Use Solver to change B7 so Fill rate is as desired!</t>
  </si>
  <si>
    <t>Leadtime not known</t>
  </si>
  <si>
    <t>leadtimemean</t>
  </si>
  <si>
    <t>daily demand</t>
  </si>
  <si>
    <t>leadtimesigma</t>
  </si>
  <si>
    <t>demand mean</t>
  </si>
  <si>
    <t>demand sigma</t>
  </si>
  <si>
    <t>Reorder point Unkown Leadtime</t>
  </si>
  <si>
    <t>Want CSL = 90%</t>
  </si>
  <si>
    <t>days</t>
  </si>
  <si>
    <t>Leadtimesigma</t>
  </si>
  <si>
    <t>Safety stock</t>
  </si>
  <si>
    <t>Aggregation</t>
  </si>
  <si>
    <t>Product</t>
  </si>
  <si>
    <t>Mean</t>
  </si>
  <si>
    <t>Sigma</t>
  </si>
  <si>
    <t>correlation</t>
  </si>
  <si>
    <t>Sigma total demand</t>
  </si>
  <si>
    <t>products</t>
  </si>
  <si>
    <t>Per period demand below</t>
  </si>
  <si>
    <t>Aggregated</t>
  </si>
  <si>
    <t>Disaggregated for each product</t>
  </si>
  <si>
    <t>Mean total  leadtime demand</t>
  </si>
  <si>
    <t>Variance total leadtime demand</t>
  </si>
  <si>
    <t>Mean per product demand</t>
  </si>
  <si>
    <t>Variance per product demand</t>
  </si>
  <si>
    <t>Sigma per product demand</t>
  </si>
  <si>
    <t>Safety stock per product</t>
  </si>
  <si>
    <t>Total safety stock</t>
  </si>
  <si>
    <t>Aggregated safety stock</t>
  </si>
  <si>
    <t>cycle service level</t>
  </si>
  <si>
    <t>ρ</t>
  </si>
  <si>
    <t>Aggregate SS</t>
  </si>
  <si>
    <t>4 Centers or One Center</t>
  </si>
  <si>
    <t>Each region weekly demand</t>
  </si>
  <si>
    <t>annholdingcost</t>
  </si>
  <si>
    <t>onecentertranscost</t>
  </si>
  <si>
    <t>fourcentertranscost</t>
  </si>
  <si>
    <t>extracost4centers</t>
  </si>
  <si>
    <t>cycleservicelevel</t>
  </si>
  <si>
    <t>4 regional centers</t>
  </si>
  <si>
    <t>standard deviation leadtimedemand</t>
  </si>
  <si>
    <t>meanleadtimedemand</t>
  </si>
  <si>
    <t>reorder point</t>
  </si>
  <si>
    <t>One National Center</t>
  </si>
  <si>
    <t>standarddeviation leadtime demand</t>
  </si>
  <si>
    <t>mean leadtime demand</t>
  </si>
  <si>
    <t>One Center vs. Four Centers</t>
  </si>
  <si>
    <t>One center holding cost savings</t>
  </si>
  <si>
    <t>Increase in Transportation costs 4 centers</t>
  </si>
  <si>
    <t>Increase in Facility Costs 4 centers</t>
  </si>
  <si>
    <t>Savings from Aggregating</t>
  </si>
  <si>
    <t>Extra Cost from Aggregating</t>
  </si>
  <si>
    <t>EXTRA COST OF AGGREGATING&gt;AGGREGATION SAVINGS</t>
  </si>
  <si>
    <t>SO DON'T AGGREGATE</t>
  </si>
  <si>
    <t>Motors</t>
  </si>
  <si>
    <t>Cleaners</t>
  </si>
  <si>
    <t>Mean week</t>
  </si>
  <si>
    <t>Sigma week</t>
  </si>
  <si>
    <t>CV</t>
  </si>
  <si>
    <t>unitcost</t>
  </si>
  <si>
    <t>hcpercentage</t>
  </si>
  <si>
    <t>unitholdingcost</t>
  </si>
  <si>
    <t>Safetystockhc</t>
  </si>
  <si>
    <t>LEADTIME MEAN</t>
  </si>
  <si>
    <t>LEADTIME SIGMA</t>
  </si>
  <si>
    <t>REORDER POINT</t>
  </si>
  <si>
    <t>CSL</t>
  </si>
  <si>
    <t>ONE DISTRIBUTION CENTER</t>
  </si>
  <si>
    <t>STORES</t>
  </si>
  <si>
    <t>Aggregation Savings</t>
  </si>
  <si>
    <t>Total HC savings</t>
  </si>
  <si>
    <t>HC savings per unit</t>
  </si>
  <si>
    <t>HC savings %age of unit cost</t>
  </si>
  <si>
    <t>colors</t>
  </si>
  <si>
    <t>each color weekly demand</t>
  </si>
  <si>
    <t>Leadtime</t>
  </si>
  <si>
    <t>Safety Stock</t>
  </si>
  <si>
    <t>Reorder point each color</t>
  </si>
  <si>
    <t>Safety Stock for each color</t>
  </si>
  <si>
    <t>Total Safety stock</t>
  </si>
  <si>
    <t>Mix each color at central point</t>
  </si>
  <si>
    <t xml:space="preserve">Leadtime mean </t>
  </si>
  <si>
    <t xml:space="preserve">Leadtime sigma </t>
  </si>
  <si>
    <t xml:space="preserve">Leadtime Mean </t>
  </si>
  <si>
    <t>One Base Mix</t>
  </si>
  <si>
    <t>Leadtime sigma</t>
  </si>
  <si>
    <t>Total Reorder Point</t>
  </si>
  <si>
    <t>90% savings in safety stock inventory</t>
  </si>
  <si>
    <t>Periodic Review</t>
  </si>
  <si>
    <t>We need to have desired cycle level during time T+L</t>
  </si>
  <si>
    <t>L=Leadtime</t>
  </si>
  <si>
    <t>T= Review period</t>
  </si>
  <si>
    <t>weekly mean</t>
  </si>
  <si>
    <t>weekly sigma</t>
  </si>
  <si>
    <t>reviewinterval</t>
  </si>
  <si>
    <t>Mean T+L</t>
  </si>
  <si>
    <t>Sigma T+L</t>
  </si>
  <si>
    <t>Reorder Point and order Up to Level</t>
  </si>
  <si>
    <t>Place order</t>
  </si>
  <si>
    <t>arrives</t>
  </si>
  <si>
    <t>inventory depleted</t>
  </si>
  <si>
    <t>reorder order arrives</t>
  </si>
  <si>
    <t>Stdev Leadtime=Sqrt(N)*st dev for 1 week</t>
  </si>
  <si>
    <t>variance for 2 weeks = 2*var for 1 week</t>
  </si>
  <si>
    <t>stdev for2 weeks = sqrt(2)*stdev for 1 week</t>
  </si>
  <si>
    <t>??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</si>
</sst>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0" fillId="2" borderId="0" xfId="0" applyFill="1"/>
    <xf numFmtId="0" fontId="0" fillId="3" borderId="0" xfId="0" applyFill="1"/>
    <xf numFmtId="0" fontId="4" fillId="0" borderId="0" xfId="0" applyFont="1"/>
    <xf numFmtId="44" fontId="0" fillId="0" borderId="0" xfId="1" applyFont="1"/>
    <xf numFmtId="44" fontId="0" fillId="0" borderId="0" xfId="0" applyNumberFormat="1"/>
    <xf numFmtId="44" fontId="3" fillId="0" borderId="0" xfId="0" applyNumberFormat="1" applyFont="1"/>
    <xf numFmtId="11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id="1" name="Table1" displayName="Table1" ref="C5:E9" totalsRowShown="0">
  <autoFilter ref="C5:E9"/>
  <tableColumns count="3">
    <tableColumn id="1" name="Product"/>
    <tableColumn id="2" name="Mean"/>
    <tableColumn id="3" name="Sigm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workbookViewId="0">
      <selection activeCell="A23" sqref="A23"/>
    </sheetView>
  </sheetViews>
  <sheetFormatPr defaultRowHeight="14.5" x14ac:dyDescent="0.35"/>
  <cols>
    <col min="1" max="1" width="28" customWidth="1"/>
  </cols>
  <sheetData>
    <row r="1" spans="1:9" x14ac:dyDescent="0.35">
      <c r="A1" s="1" t="s">
        <v>0</v>
      </c>
    </row>
    <row r="2" spans="1:9" x14ac:dyDescent="0.35">
      <c r="A2" t="s">
        <v>11</v>
      </c>
    </row>
    <row r="4" spans="1:9" x14ac:dyDescent="0.35">
      <c r="A4" t="s">
        <v>1</v>
      </c>
    </row>
    <row r="5" spans="1:9" x14ac:dyDescent="0.35">
      <c r="A5" t="s">
        <v>2</v>
      </c>
      <c r="B5">
        <v>2500</v>
      </c>
      <c r="E5" t="s">
        <v>126</v>
      </c>
    </row>
    <row r="6" spans="1:9" x14ac:dyDescent="0.35">
      <c r="A6" t="s">
        <v>3</v>
      </c>
      <c r="B6">
        <v>500</v>
      </c>
      <c r="E6" t="s">
        <v>127</v>
      </c>
      <c r="I6" t="s">
        <v>131</v>
      </c>
    </row>
    <row r="7" spans="1:9" x14ac:dyDescent="0.35">
      <c r="A7" t="s">
        <v>4</v>
      </c>
      <c r="B7">
        <v>6000</v>
      </c>
      <c r="E7" t="s">
        <v>128</v>
      </c>
      <c r="I7" t="s">
        <v>132</v>
      </c>
    </row>
    <row r="8" spans="1:9" x14ac:dyDescent="0.35">
      <c r="A8" t="s">
        <v>5</v>
      </c>
      <c r="B8">
        <v>2</v>
      </c>
      <c r="E8" t="s">
        <v>129</v>
      </c>
    </row>
    <row r="9" spans="1:9" x14ac:dyDescent="0.35">
      <c r="A9" t="s">
        <v>16</v>
      </c>
      <c r="B9">
        <f>B7-B11</f>
        <v>1000</v>
      </c>
      <c r="C9" t="str">
        <f ca="1">_xlfn.FORMULATEXT(B9)</f>
        <v>=B7-B11</v>
      </c>
    </row>
    <row r="10" spans="1:9" x14ac:dyDescent="0.35">
      <c r="A10" s="1" t="s">
        <v>6</v>
      </c>
    </row>
    <row r="11" spans="1:9" x14ac:dyDescent="0.35">
      <c r="A11" t="s">
        <v>7</v>
      </c>
      <c r="B11">
        <f>B8*B5</f>
        <v>5000</v>
      </c>
      <c r="G11" t="s">
        <v>130</v>
      </c>
    </row>
    <row r="12" spans="1:9" x14ac:dyDescent="0.35">
      <c r="A12" t="s">
        <v>8</v>
      </c>
      <c r="B12">
        <f>SQRT(B8)*B6</f>
        <v>707.10678118654755</v>
      </c>
      <c r="C12" t="str">
        <f ca="1">_xlfn.FORMULATEXT(B12)</f>
        <v>=SQRT(B8)*B6</v>
      </c>
    </row>
    <row r="14" spans="1:9" x14ac:dyDescent="0.35">
      <c r="A14" t="s">
        <v>9</v>
      </c>
      <c r="B14">
        <f>_xlfn.NORM.DIST(B7,B11,B12,TRUE)</f>
        <v>0.92135039647485739</v>
      </c>
      <c r="C14" t="str">
        <f ca="1">_xlfn.FORMULATEXT(B14)</f>
        <v>=NORM.DIST(B7,B11,B12,TRUE)</v>
      </c>
    </row>
    <row r="16" spans="1:9" x14ac:dyDescent="0.35">
      <c r="A16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C18" sqref="C18"/>
    </sheetView>
  </sheetViews>
  <sheetFormatPr defaultRowHeight="14.5" x14ac:dyDescent="0.35"/>
  <cols>
    <col min="1" max="1" width="28" customWidth="1"/>
    <col min="3" max="3" width="25.7265625" customWidth="1"/>
  </cols>
  <sheetData>
    <row r="1" spans="1:6" x14ac:dyDescent="0.35">
      <c r="A1" s="1" t="s">
        <v>22</v>
      </c>
      <c r="C1" t="s">
        <v>14</v>
      </c>
    </row>
    <row r="2" spans="1:6" x14ac:dyDescent="0.35">
      <c r="A2" t="s">
        <v>12</v>
      </c>
    </row>
    <row r="3" spans="1:6" x14ac:dyDescent="0.35">
      <c r="A3" t="s">
        <v>13</v>
      </c>
      <c r="F3" t="s">
        <v>15</v>
      </c>
    </row>
    <row r="4" spans="1:6" x14ac:dyDescent="0.35">
      <c r="A4" t="s">
        <v>1</v>
      </c>
    </row>
    <row r="5" spans="1:6" x14ac:dyDescent="0.35">
      <c r="A5" t="s">
        <v>2</v>
      </c>
      <c r="B5">
        <v>2500</v>
      </c>
    </row>
    <row r="6" spans="1:6" x14ac:dyDescent="0.35">
      <c r="A6" t="s">
        <v>3</v>
      </c>
      <c r="B6">
        <v>500</v>
      </c>
    </row>
    <row r="7" spans="1:6" x14ac:dyDescent="0.35">
      <c r="A7" t="s">
        <v>4</v>
      </c>
      <c r="B7" s="2">
        <f>_xlfn.NORM.INV(0.9,B11,B12)</f>
        <v>5906.1938024368237</v>
      </c>
      <c r="C7" t="str">
        <f ca="1">_xlfn.FORMULATEXT(B7)</f>
        <v>=NORM.INV(0.9,B11,B12)</v>
      </c>
      <c r="E7" t="s">
        <v>133</v>
      </c>
    </row>
    <row r="8" spans="1:6" x14ac:dyDescent="0.35">
      <c r="A8" t="s">
        <v>5</v>
      </c>
      <c r="B8">
        <v>2</v>
      </c>
    </row>
    <row r="9" spans="1:6" x14ac:dyDescent="0.35">
      <c r="A9" t="s">
        <v>16</v>
      </c>
      <c r="B9" s="2">
        <f>B7-B11</f>
        <v>906.19380243682372</v>
      </c>
    </row>
    <row r="10" spans="1:6" x14ac:dyDescent="0.35">
      <c r="A10" s="1" t="s">
        <v>6</v>
      </c>
    </row>
    <row r="11" spans="1:6" x14ac:dyDescent="0.35">
      <c r="A11" t="s">
        <v>7</v>
      </c>
      <c r="B11">
        <f>B8*B5</f>
        <v>5000</v>
      </c>
    </row>
    <row r="12" spans="1:6" x14ac:dyDescent="0.35">
      <c r="A12" t="s">
        <v>8</v>
      </c>
      <c r="B12">
        <f>SQRT(B8)*B6</f>
        <v>707.10678118654755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>
      <selection activeCell="B14" sqref="B14"/>
    </sheetView>
  </sheetViews>
  <sheetFormatPr defaultRowHeight="14.5" x14ac:dyDescent="0.35"/>
  <cols>
    <col min="1" max="1" width="28" customWidth="1"/>
  </cols>
  <sheetData>
    <row r="1" spans="1:2" x14ac:dyDescent="0.35">
      <c r="A1" s="1" t="s">
        <v>19</v>
      </c>
    </row>
    <row r="2" spans="1:2" x14ac:dyDescent="0.35">
      <c r="A2" t="s">
        <v>20</v>
      </c>
    </row>
    <row r="3" spans="1:2" x14ac:dyDescent="0.35">
      <c r="A3" t="s">
        <v>21</v>
      </c>
    </row>
    <row r="4" spans="1:2" x14ac:dyDescent="0.35">
      <c r="A4" t="s">
        <v>1</v>
      </c>
    </row>
    <row r="5" spans="1:2" x14ac:dyDescent="0.35">
      <c r="A5" t="s">
        <v>2</v>
      </c>
      <c r="B5">
        <v>2500</v>
      </c>
    </row>
    <row r="6" spans="1:2" x14ac:dyDescent="0.35">
      <c r="A6" t="s">
        <v>3</v>
      </c>
      <c r="B6">
        <v>500</v>
      </c>
    </row>
    <row r="7" spans="1:2" x14ac:dyDescent="0.35">
      <c r="A7" t="s">
        <v>4</v>
      </c>
      <c r="B7" s="2">
        <v>6000</v>
      </c>
    </row>
    <row r="8" spans="1:2" x14ac:dyDescent="0.35">
      <c r="A8" t="s">
        <v>5</v>
      </c>
      <c r="B8">
        <v>2</v>
      </c>
    </row>
    <row r="9" spans="1:2" x14ac:dyDescent="0.35">
      <c r="A9" t="s">
        <v>16</v>
      </c>
      <c r="B9" s="2">
        <f>B7-B11</f>
        <v>1000</v>
      </c>
    </row>
    <row r="10" spans="1:2" x14ac:dyDescent="0.35">
      <c r="A10" s="1" t="s">
        <v>6</v>
      </c>
    </row>
    <row r="11" spans="1:2" x14ac:dyDescent="0.35">
      <c r="A11" t="s">
        <v>7</v>
      </c>
      <c r="B11">
        <f>B8*B5</f>
        <v>5000</v>
      </c>
    </row>
    <row r="12" spans="1:2" x14ac:dyDescent="0.35">
      <c r="A12" t="s">
        <v>8</v>
      </c>
      <c r="B12">
        <f>SQRT(B8)*B6</f>
        <v>707.10678118654755</v>
      </c>
    </row>
    <row r="13" spans="1:2" x14ac:dyDescent="0.35">
      <c r="A13" t="s">
        <v>18</v>
      </c>
      <c r="B13">
        <v>10000</v>
      </c>
    </row>
    <row r="14" spans="1:2" x14ac:dyDescent="0.35">
      <c r="A14" t="s">
        <v>17</v>
      </c>
      <c r="B14">
        <f>-B9*(1-_xlfn.NORM.DIST(B9/B12,0,1,1))+B12*_xlfn.NORM.DIST(B9/B12,0,1,0)</f>
        <v>25.127270830006083</v>
      </c>
    </row>
    <row r="15" spans="1:2" x14ac:dyDescent="0.35">
      <c r="A15" t="s">
        <v>19</v>
      </c>
      <c r="B15">
        <f>(B13-B14)/B13</f>
        <v>0.99748727291699946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B15" sqref="B15"/>
    </sheetView>
  </sheetViews>
  <sheetFormatPr defaultRowHeight="14.5" x14ac:dyDescent="0.35"/>
  <cols>
    <col min="1" max="1" width="28" customWidth="1"/>
  </cols>
  <sheetData>
    <row r="1" spans="1:5" x14ac:dyDescent="0.35">
      <c r="A1" s="1" t="s">
        <v>23</v>
      </c>
    </row>
    <row r="2" spans="1:5" x14ac:dyDescent="0.35">
      <c r="A2" t="s">
        <v>24</v>
      </c>
    </row>
    <row r="3" spans="1:5" x14ac:dyDescent="0.35">
      <c r="A3" t="s">
        <v>25</v>
      </c>
      <c r="D3" t="s">
        <v>26</v>
      </c>
    </row>
    <row r="4" spans="1:5" x14ac:dyDescent="0.35">
      <c r="A4" t="s">
        <v>1</v>
      </c>
    </row>
    <row r="5" spans="1:5" x14ac:dyDescent="0.35">
      <c r="A5" t="s">
        <v>2</v>
      </c>
      <c r="B5">
        <v>2500</v>
      </c>
    </row>
    <row r="6" spans="1:5" x14ac:dyDescent="0.35">
      <c r="A6" t="s">
        <v>3</v>
      </c>
      <c r="B6">
        <v>500</v>
      </c>
    </row>
    <row r="7" spans="1:5" x14ac:dyDescent="0.35">
      <c r="A7" t="s">
        <v>4</v>
      </c>
      <c r="B7" s="2">
        <v>5066.7053092011165</v>
      </c>
    </row>
    <row r="8" spans="1:5" x14ac:dyDescent="0.35">
      <c r="A8" t="s">
        <v>5</v>
      </c>
      <c r="B8">
        <v>2</v>
      </c>
      <c r="E8" t="s">
        <v>27</v>
      </c>
    </row>
    <row r="9" spans="1:5" x14ac:dyDescent="0.35">
      <c r="A9" t="s">
        <v>16</v>
      </c>
      <c r="B9" s="2">
        <f>B7-B11</f>
        <v>66.705309201116506</v>
      </c>
    </row>
    <row r="10" spans="1:5" x14ac:dyDescent="0.35">
      <c r="A10" s="1" t="s">
        <v>6</v>
      </c>
    </row>
    <row r="11" spans="1:5" x14ac:dyDescent="0.35">
      <c r="A11" t="s">
        <v>7</v>
      </c>
      <c r="B11">
        <f>B8*B5</f>
        <v>5000</v>
      </c>
    </row>
    <row r="12" spans="1:5" x14ac:dyDescent="0.35">
      <c r="A12" t="s">
        <v>8</v>
      </c>
      <c r="B12">
        <f>SQRT(B8)*B6</f>
        <v>707.10678118654755</v>
      </c>
    </row>
    <row r="13" spans="1:5" x14ac:dyDescent="0.35">
      <c r="A13" t="s">
        <v>18</v>
      </c>
      <c r="B13">
        <v>10000</v>
      </c>
    </row>
    <row r="14" spans="1:5" x14ac:dyDescent="0.35">
      <c r="A14" t="s">
        <v>17</v>
      </c>
      <c r="B14">
        <f>-B9*(1-_xlfn.NORM.DIST(B9/B12,0,1,1))+B12*_xlfn.NORM.DIST(B9/B12,0,1,0)</f>
        <v>249.99641563783007</v>
      </c>
    </row>
    <row r="15" spans="1:5" x14ac:dyDescent="0.35">
      <c r="A15" t="s">
        <v>19</v>
      </c>
      <c r="B15">
        <f>(B13-B14)/B13</f>
        <v>0.97500035843621702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activeCell="D15" sqref="D15"/>
    </sheetView>
  </sheetViews>
  <sheetFormatPr defaultRowHeight="14.5" x14ac:dyDescent="0.35"/>
  <cols>
    <col min="1" max="1" width="28" customWidth="1"/>
    <col min="7" max="7" width="13.54296875" customWidth="1"/>
    <col min="8" max="8" width="22.36328125" customWidth="1"/>
  </cols>
  <sheetData>
    <row r="1" spans="1:9" x14ac:dyDescent="0.35">
      <c r="A1" s="1" t="s">
        <v>34</v>
      </c>
    </row>
    <row r="2" spans="1:9" x14ac:dyDescent="0.35">
      <c r="A2" t="s">
        <v>28</v>
      </c>
    </row>
    <row r="3" spans="1:9" x14ac:dyDescent="0.35">
      <c r="A3" t="s">
        <v>25</v>
      </c>
      <c r="D3" t="s">
        <v>35</v>
      </c>
    </row>
    <row r="4" spans="1:9" x14ac:dyDescent="0.35">
      <c r="A4" t="s">
        <v>30</v>
      </c>
      <c r="I4" t="s">
        <v>38</v>
      </c>
    </row>
    <row r="5" spans="1:9" x14ac:dyDescent="0.35">
      <c r="A5" t="s">
        <v>2</v>
      </c>
      <c r="B5">
        <v>2500</v>
      </c>
      <c r="I5">
        <f>B10</f>
        <v>22491.138696520982</v>
      </c>
    </row>
    <row r="6" spans="1:9" x14ac:dyDescent="0.35">
      <c r="A6" t="s">
        <v>3</v>
      </c>
      <c r="B6">
        <v>500</v>
      </c>
      <c r="H6">
        <v>0</v>
      </c>
      <c r="I6">
        <f t="dataTable" ref="I6:I12" dt2D="0" dtr="0" r1="B9"/>
        <v>1695.3333673682537</v>
      </c>
    </row>
    <row r="7" spans="1:9" x14ac:dyDescent="0.35">
      <c r="A7" t="s">
        <v>4</v>
      </c>
      <c r="B7" s="2">
        <f>_xlfn.NORM.INV(0.9,B12,B13)</f>
        <v>39991.138696520982</v>
      </c>
      <c r="H7">
        <v>1</v>
      </c>
      <c r="I7">
        <v>3624.7752097472949</v>
      </c>
    </row>
    <row r="8" spans="1:9" x14ac:dyDescent="0.35">
      <c r="A8" t="s">
        <v>29</v>
      </c>
      <c r="B8">
        <v>7</v>
      </c>
      <c r="C8" t="s">
        <v>36</v>
      </c>
      <c r="G8" t="s">
        <v>37</v>
      </c>
      <c r="H8">
        <v>2</v>
      </c>
      <c r="I8">
        <v>6628.2362363797511</v>
      </c>
    </row>
    <row r="9" spans="1:9" x14ac:dyDescent="0.35">
      <c r="A9" t="s">
        <v>31</v>
      </c>
      <c r="B9">
        <v>7</v>
      </c>
      <c r="C9" t="s">
        <v>36</v>
      </c>
      <c r="H9">
        <v>3</v>
      </c>
      <c r="I9">
        <v>9760.0059466523562</v>
      </c>
    </row>
    <row r="10" spans="1:9" x14ac:dyDescent="0.35">
      <c r="A10" t="s">
        <v>16</v>
      </c>
      <c r="B10" s="2">
        <f>B7-B12</f>
        <v>22491.138696520982</v>
      </c>
      <c r="H10">
        <v>4</v>
      </c>
      <c r="I10">
        <v>12927.165069785944</v>
      </c>
    </row>
    <row r="11" spans="1:9" x14ac:dyDescent="0.35">
      <c r="A11" s="1" t="s">
        <v>6</v>
      </c>
      <c r="H11">
        <v>5</v>
      </c>
      <c r="I11">
        <v>16108.853391649915</v>
      </c>
    </row>
    <row r="12" spans="1:9" x14ac:dyDescent="0.35">
      <c r="A12" t="s">
        <v>32</v>
      </c>
      <c r="B12">
        <f>B8*B5</f>
        <v>17500</v>
      </c>
      <c r="H12">
        <v>6</v>
      </c>
      <c r="I12">
        <v>19297.885859213202</v>
      </c>
    </row>
    <row r="13" spans="1:9" x14ac:dyDescent="0.35">
      <c r="A13" t="s">
        <v>33</v>
      </c>
      <c r="B13">
        <f>SQRT(B8*B6^2+(B5^2)*(B9^2))</f>
        <v>17549.928774784243</v>
      </c>
      <c r="C13" t="str">
        <f ca="1">_xlfn.FORMULATEXT(B13)</f>
        <v>=SQRT(B8*B6^2+(B5^2)*(B9^2))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L17"/>
  <sheetViews>
    <sheetView workbookViewId="0">
      <selection activeCell="E17" sqref="E17"/>
    </sheetView>
  </sheetViews>
  <sheetFormatPr defaultRowHeight="14.5" x14ac:dyDescent="0.35"/>
  <cols>
    <col min="3" max="3" width="23.453125" customWidth="1"/>
    <col min="6" max="6" width="10.90625" customWidth="1"/>
    <col min="7" max="7" width="27.36328125" customWidth="1"/>
    <col min="8" max="8" width="13.7265625" customWidth="1"/>
    <col min="12" max="12" width="10.1796875" customWidth="1"/>
  </cols>
  <sheetData>
    <row r="1" spans="3:12" x14ac:dyDescent="0.35">
      <c r="F1" t="s">
        <v>45</v>
      </c>
      <c r="G1">
        <f>COUNT(Table1[Product])</f>
        <v>4</v>
      </c>
    </row>
    <row r="2" spans="3:12" x14ac:dyDescent="0.35">
      <c r="C2" t="s">
        <v>39</v>
      </c>
      <c r="F2" t="s">
        <v>43</v>
      </c>
      <c r="G2">
        <v>0.2</v>
      </c>
    </row>
    <row r="3" spans="3:12" x14ac:dyDescent="0.35">
      <c r="C3" t="s">
        <v>46</v>
      </c>
      <c r="F3" t="s">
        <v>57</v>
      </c>
      <c r="G3">
        <v>0.9</v>
      </c>
    </row>
    <row r="4" spans="3:12" x14ac:dyDescent="0.35">
      <c r="F4" t="s">
        <v>5</v>
      </c>
      <c r="G4">
        <v>2</v>
      </c>
      <c r="L4" t="s">
        <v>59</v>
      </c>
    </row>
    <row r="5" spans="3:12" x14ac:dyDescent="0.35">
      <c r="C5" t="s">
        <v>40</v>
      </c>
      <c r="D5" t="s">
        <v>41</v>
      </c>
      <c r="E5" t="s">
        <v>42</v>
      </c>
      <c r="G5" s="3" t="s">
        <v>47</v>
      </c>
      <c r="H5" s="3"/>
      <c r="L5">
        <f>H9</f>
        <v>22.925091337832043</v>
      </c>
    </row>
    <row r="6" spans="3:12" x14ac:dyDescent="0.35">
      <c r="C6">
        <v>1</v>
      </c>
      <c r="D6">
        <v>25</v>
      </c>
      <c r="E6">
        <v>5</v>
      </c>
      <c r="G6" s="3" t="s">
        <v>49</v>
      </c>
      <c r="H6" s="3">
        <f>G4*SUM(Table1[Mean])</f>
        <v>200</v>
      </c>
      <c r="K6">
        <v>0</v>
      </c>
      <c r="L6">
        <f t="dataTable" ref="L6:L11" dt2D="0" dtr="0" r1="G2"/>
        <v>18.123876048736463</v>
      </c>
    </row>
    <row r="7" spans="3:12" x14ac:dyDescent="0.35">
      <c r="C7">
        <v>2</v>
      </c>
      <c r="D7">
        <v>25</v>
      </c>
      <c r="E7">
        <v>5</v>
      </c>
      <c r="G7" s="3" t="s">
        <v>50</v>
      </c>
      <c r="H7" s="3">
        <f>(G1*E6^2+(G1*(G1-1))*G2*E6^2)*G4</f>
        <v>320</v>
      </c>
      <c r="J7" s="4" t="s">
        <v>58</v>
      </c>
      <c r="K7">
        <v>0.2</v>
      </c>
      <c r="L7">
        <v>22.925091337832043</v>
      </c>
    </row>
    <row r="8" spans="3:12" x14ac:dyDescent="0.35">
      <c r="C8">
        <v>3</v>
      </c>
      <c r="D8">
        <v>25</v>
      </c>
      <c r="E8">
        <v>5</v>
      </c>
      <c r="G8" s="3" t="s">
        <v>44</v>
      </c>
      <c r="H8" s="3">
        <f>SQRT(H7)</f>
        <v>17.888543819998318</v>
      </c>
      <c r="K8">
        <v>0.4</v>
      </c>
      <c r="L8">
        <v>26.882052426589752</v>
      </c>
    </row>
    <row r="9" spans="3:12" x14ac:dyDescent="0.35">
      <c r="C9">
        <v>4</v>
      </c>
      <c r="D9">
        <v>25</v>
      </c>
      <c r="E9">
        <v>5</v>
      </c>
      <c r="G9" s="3" t="s">
        <v>56</v>
      </c>
      <c r="H9" s="3">
        <f>_xlfn.NORM.INV(G3,H6,H8)-H6</f>
        <v>22.925091337832043</v>
      </c>
      <c r="K9">
        <v>0.6</v>
      </c>
      <c r="L9">
        <v>30.327045231672287</v>
      </c>
    </row>
    <row r="10" spans="3:12" x14ac:dyDescent="0.35">
      <c r="K10">
        <v>0.8</v>
      </c>
      <c r="L10">
        <v>33.418776193958308</v>
      </c>
    </row>
    <row r="11" spans="3:12" x14ac:dyDescent="0.35">
      <c r="K11">
        <v>1</v>
      </c>
      <c r="L11">
        <v>36.247752097472926</v>
      </c>
    </row>
    <row r="12" spans="3:12" x14ac:dyDescent="0.35">
      <c r="G12" s="2" t="s">
        <v>48</v>
      </c>
      <c r="H12" s="2"/>
    </row>
    <row r="13" spans="3:12" x14ac:dyDescent="0.35">
      <c r="G13" s="2" t="s">
        <v>51</v>
      </c>
      <c r="H13" s="2">
        <f>D6*G4</f>
        <v>50</v>
      </c>
    </row>
    <row r="14" spans="3:12" x14ac:dyDescent="0.35">
      <c r="G14" s="2" t="s">
        <v>52</v>
      </c>
      <c r="H14" s="2">
        <f>G4*E6^2</f>
        <v>50</v>
      </c>
    </row>
    <row r="15" spans="3:12" x14ac:dyDescent="0.35">
      <c r="G15" s="2" t="s">
        <v>53</v>
      </c>
      <c r="H15" s="2">
        <f>SQRT(H14)</f>
        <v>7.0710678118654755</v>
      </c>
    </row>
    <row r="16" spans="3:12" x14ac:dyDescent="0.35">
      <c r="G16" s="2" t="s">
        <v>54</v>
      </c>
      <c r="H16" s="2">
        <f>_xlfn.NORM.INV(0.9,H13,H15)-H13</f>
        <v>9.0619380243682315</v>
      </c>
      <c r="L16">
        <f>COUNT(G19:X19)</f>
        <v>0</v>
      </c>
    </row>
    <row r="17" spans="7:8" x14ac:dyDescent="0.35">
      <c r="G17" s="2" t="s">
        <v>55</v>
      </c>
      <c r="H17" s="2">
        <f>G1*H16</f>
        <v>36.247752097472926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34"/>
  <sheetViews>
    <sheetView topLeftCell="A15" workbookViewId="0">
      <selection activeCell="A35" sqref="A35"/>
    </sheetView>
  </sheetViews>
  <sheetFormatPr defaultRowHeight="14.5" x14ac:dyDescent="0.35"/>
  <cols>
    <col min="1" max="1" width="34.81640625" customWidth="1"/>
    <col min="2" max="2" width="13.6328125" customWidth="1"/>
  </cols>
  <sheetData>
    <row r="3" spans="1:2" x14ac:dyDescent="0.35">
      <c r="A3" t="s">
        <v>60</v>
      </c>
    </row>
    <row r="4" spans="1:2" x14ac:dyDescent="0.35">
      <c r="A4" t="s">
        <v>61</v>
      </c>
    </row>
    <row r="5" spans="1:2" x14ac:dyDescent="0.35">
      <c r="A5" t="s">
        <v>41</v>
      </c>
      <c r="B5">
        <v>1000</v>
      </c>
    </row>
    <row r="6" spans="1:2" x14ac:dyDescent="0.35">
      <c r="A6" t="s">
        <v>42</v>
      </c>
      <c r="B6">
        <v>300</v>
      </c>
    </row>
    <row r="7" spans="1:2" x14ac:dyDescent="0.35">
      <c r="A7" t="s">
        <v>62</v>
      </c>
      <c r="B7" s="5">
        <v>200</v>
      </c>
    </row>
    <row r="8" spans="1:2" x14ac:dyDescent="0.35">
      <c r="A8" t="s">
        <v>5</v>
      </c>
      <c r="B8">
        <v>4</v>
      </c>
    </row>
    <row r="9" spans="1:2" x14ac:dyDescent="0.35">
      <c r="A9" t="s">
        <v>63</v>
      </c>
      <c r="B9" s="5">
        <v>13</v>
      </c>
    </row>
    <row r="10" spans="1:2" x14ac:dyDescent="0.35">
      <c r="A10" t="s">
        <v>64</v>
      </c>
      <c r="B10" s="5">
        <v>10</v>
      </c>
    </row>
    <row r="11" spans="1:2" x14ac:dyDescent="0.35">
      <c r="A11" t="s">
        <v>65</v>
      </c>
      <c r="B11" s="5">
        <v>150000</v>
      </c>
    </row>
    <row r="12" spans="1:2" x14ac:dyDescent="0.35">
      <c r="A12" t="s">
        <v>66</v>
      </c>
      <c r="B12" s="5">
        <v>0.95</v>
      </c>
    </row>
    <row r="14" spans="1:2" x14ac:dyDescent="0.35">
      <c r="A14" s="1" t="s">
        <v>67</v>
      </c>
    </row>
    <row r="15" spans="1:2" x14ac:dyDescent="0.35">
      <c r="A15" t="s">
        <v>68</v>
      </c>
      <c r="B15">
        <f>SQRT(4)*B6</f>
        <v>600</v>
      </c>
    </row>
    <row r="16" spans="1:2" x14ac:dyDescent="0.35">
      <c r="A16" t="s">
        <v>69</v>
      </c>
      <c r="B16">
        <f>B8*B5</f>
        <v>4000</v>
      </c>
    </row>
    <row r="17" spans="1:2" x14ac:dyDescent="0.35">
      <c r="A17" t="s">
        <v>70</v>
      </c>
      <c r="B17">
        <f>_xlfn.NORM.INV(0.95,B16,B15)</f>
        <v>4986.912176170883</v>
      </c>
    </row>
    <row r="18" spans="1:2" x14ac:dyDescent="0.35">
      <c r="A18" t="s">
        <v>16</v>
      </c>
      <c r="B18">
        <f>4*(B17-B16)</f>
        <v>3947.6487046835318</v>
      </c>
    </row>
    <row r="20" spans="1:2" x14ac:dyDescent="0.35">
      <c r="A20" s="1" t="s">
        <v>71</v>
      </c>
    </row>
    <row r="21" spans="1:2" x14ac:dyDescent="0.35">
      <c r="A21" t="s">
        <v>72</v>
      </c>
      <c r="B21">
        <f>(SQRT(4)*B6)*SQRT(B8)</f>
        <v>1200</v>
      </c>
    </row>
    <row r="22" spans="1:2" x14ac:dyDescent="0.35">
      <c r="A22" t="s">
        <v>73</v>
      </c>
      <c r="B22">
        <f>4*B5</f>
        <v>4000</v>
      </c>
    </row>
    <row r="23" spans="1:2" x14ac:dyDescent="0.35">
      <c r="A23" t="s">
        <v>70</v>
      </c>
      <c r="B23">
        <f>_xlfn.NORM.INV(0.95,B22,B21)</f>
        <v>5973.8243523417659</v>
      </c>
    </row>
    <row r="24" spans="1:2" x14ac:dyDescent="0.35">
      <c r="A24" t="s">
        <v>16</v>
      </c>
      <c r="B24">
        <f>B23-B22</f>
        <v>1973.8243523417659</v>
      </c>
    </row>
    <row r="26" spans="1:2" x14ac:dyDescent="0.35">
      <c r="A26" s="1" t="s">
        <v>74</v>
      </c>
    </row>
    <row r="27" spans="1:2" x14ac:dyDescent="0.35">
      <c r="A27" t="s">
        <v>75</v>
      </c>
      <c r="B27" s="5">
        <f>B7*(B18-B24)</f>
        <v>394764.87046835315</v>
      </c>
    </row>
    <row r="28" spans="1:2" x14ac:dyDescent="0.35">
      <c r="A28" t="s">
        <v>76</v>
      </c>
      <c r="B28" s="6">
        <f>(B9-B10)*52*(4*B5)</f>
        <v>624000</v>
      </c>
    </row>
    <row r="29" spans="1:2" x14ac:dyDescent="0.35">
      <c r="A29" t="s">
        <v>77</v>
      </c>
      <c r="B29" s="6">
        <f>B11</f>
        <v>150000</v>
      </c>
    </row>
    <row r="30" spans="1:2" x14ac:dyDescent="0.35">
      <c r="A30" t="s">
        <v>78</v>
      </c>
      <c r="B30" s="7">
        <f>B29+B27</f>
        <v>544764.87046835315</v>
      </c>
    </row>
    <row r="31" spans="1:2" x14ac:dyDescent="0.35">
      <c r="A31" t="s">
        <v>79</v>
      </c>
      <c r="B31" s="7">
        <f>B28</f>
        <v>624000</v>
      </c>
    </row>
    <row r="33" spans="1:1" x14ac:dyDescent="0.35">
      <c r="A33" t="s">
        <v>80</v>
      </c>
    </row>
    <row r="34" spans="1:1" x14ac:dyDescent="0.35">
      <c r="A34" t="s">
        <v>81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35"/>
  <sheetViews>
    <sheetView topLeftCell="A16" workbookViewId="0">
      <selection activeCell="G34" sqref="G34"/>
    </sheetView>
  </sheetViews>
  <sheetFormatPr defaultRowHeight="14.5" x14ac:dyDescent="0.35"/>
  <cols>
    <col min="2" max="2" width="26" customWidth="1"/>
    <col min="3" max="4" width="14.6328125" bestFit="1" customWidth="1"/>
  </cols>
  <sheetData>
    <row r="1" spans="2:4" x14ac:dyDescent="0.35">
      <c r="B1" s="1" t="s">
        <v>95</v>
      </c>
    </row>
    <row r="2" spans="2:4" x14ac:dyDescent="0.35">
      <c r="C2" t="s">
        <v>82</v>
      </c>
      <c r="D2" t="s">
        <v>83</v>
      </c>
    </row>
    <row r="3" spans="2:4" x14ac:dyDescent="0.35">
      <c r="B3" t="s">
        <v>94</v>
      </c>
      <c r="C3">
        <v>0.95</v>
      </c>
      <c r="D3">
        <v>0.95</v>
      </c>
    </row>
    <row r="4" spans="2:4" x14ac:dyDescent="0.35">
      <c r="B4" t="s">
        <v>84</v>
      </c>
      <c r="C4">
        <v>32000</v>
      </c>
      <c r="D4" s="8">
        <v>1600000</v>
      </c>
    </row>
    <row r="5" spans="2:4" x14ac:dyDescent="0.35">
      <c r="B5" t="s">
        <v>85</v>
      </c>
      <c r="C5">
        <f>C6*C4</f>
        <v>1600</v>
      </c>
      <c r="D5">
        <f>D6*D4</f>
        <v>4000</v>
      </c>
    </row>
    <row r="6" spans="2:4" x14ac:dyDescent="0.35">
      <c r="B6" t="s">
        <v>86</v>
      </c>
      <c r="C6">
        <v>0.05</v>
      </c>
      <c r="D6">
        <v>2.5000000000000001E-3</v>
      </c>
    </row>
    <row r="7" spans="2:4" x14ac:dyDescent="0.35">
      <c r="B7" t="s">
        <v>5</v>
      </c>
      <c r="C7">
        <v>4</v>
      </c>
      <c r="D7">
        <v>4</v>
      </c>
    </row>
    <row r="8" spans="2:4" x14ac:dyDescent="0.35">
      <c r="B8" t="s">
        <v>91</v>
      </c>
      <c r="C8">
        <f>C7*C4</f>
        <v>128000</v>
      </c>
      <c r="D8">
        <f>D7*D4</f>
        <v>6400000</v>
      </c>
    </row>
    <row r="9" spans="2:4" x14ac:dyDescent="0.35">
      <c r="B9" t="s">
        <v>92</v>
      </c>
      <c r="C9">
        <f>SQRT(C7)*C5</f>
        <v>3200</v>
      </c>
      <c r="D9">
        <f>SQRT(D7)*D5</f>
        <v>8000</v>
      </c>
    </row>
    <row r="10" spans="2:4" x14ac:dyDescent="0.35">
      <c r="B10" t="s">
        <v>93</v>
      </c>
      <c r="C10">
        <f>NORMINV(C3,C8,C9)</f>
        <v>133263.53160624471</v>
      </c>
      <c r="D10">
        <f>NORMINV(D3,D8,D9)</f>
        <v>6413158.8290156117</v>
      </c>
    </row>
    <row r="11" spans="2:4" x14ac:dyDescent="0.35">
      <c r="B11" t="s">
        <v>38</v>
      </c>
      <c r="C11">
        <f>C10-C8</f>
        <v>5263.5316062447091</v>
      </c>
      <c r="D11">
        <f>D10-D8</f>
        <v>13158.829015611671</v>
      </c>
    </row>
    <row r="12" spans="2:4" x14ac:dyDescent="0.35">
      <c r="B12" t="s">
        <v>87</v>
      </c>
      <c r="C12" s="5">
        <v>500</v>
      </c>
      <c r="D12" s="5">
        <v>30</v>
      </c>
    </row>
    <row r="13" spans="2:4" x14ac:dyDescent="0.35">
      <c r="B13" t="s">
        <v>88</v>
      </c>
      <c r="C13">
        <v>0.25</v>
      </c>
      <c r="D13">
        <v>0.25</v>
      </c>
    </row>
    <row r="14" spans="2:4" x14ac:dyDescent="0.35">
      <c r="B14" t="s">
        <v>89</v>
      </c>
      <c r="C14" s="6">
        <f>C12*C13</f>
        <v>125</v>
      </c>
      <c r="D14" s="6">
        <f>D12*D13</f>
        <v>7.5</v>
      </c>
    </row>
    <row r="15" spans="2:4" x14ac:dyDescent="0.35">
      <c r="B15" t="s">
        <v>90</v>
      </c>
      <c r="C15" s="6">
        <f>C14*C11</f>
        <v>657941.45078058867</v>
      </c>
      <c r="D15" s="6">
        <f>D14*D11</f>
        <v>98691.217617087532</v>
      </c>
    </row>
    <row r="16" spans="2:4" x14ac:dyDescent="0.35">
      <c r="C16" t="s">
        <v>82</v>
      </c>
      <c r="D16" t="s">
        <v>83</v>
      </c>
    </row>
    <row r="17" spans="2:4" x14ac:dyDescent="0.35">
      <c r="B17" s="1" t="s">
        <v>96</v>
      </c>
      <c r="C17">
        <v>1600</v>
      </c>
      <c r="D17">
        <v>1600</v>
      </c>
    </row>
    <row r="18" spans="2:4" x14ac:dyDescent="0.35">
      <c r="B18" t="s">
        <v>94</v>
      </c>
      <c r="C18">
        <v>0.95</v>
      </c>
      <c r="D18">
        <v>0.95</v>
      </c>
    </row>
    <row r="19" spans="2:4" x14ac:dyDescent="0.35">
      <c r="B19" t="s">
        <v>84</v>
      </c>
      <c r="C19">
        <f>C4/C17</f>
        <v>20</v>
      </c>
      <c r="D19">
        <f>D4/D17</f>
        <v>1000</v>
      </c>
    </row>
    <row r="20" spans="2:4" x14ac:dyDescent="0.35">
      <c r="B20" t="s">
        <v>85</v>
      </c>
      <c r="C20">
        <f>C5/SQRT(C17)</f>
        <v>40</v>
      </c>
      <c r="D20">
        <f>D5/SQRT(D17)</f>
        <v>100</v>
      </c>
    </row>
    <row r="21" spans="2:4" x14ac:dyDescent="0.35">
      <c r="B21" t="s">
        <v>86</v>
      </c>
      <c r="C21">
        <f>C20/C19</f>
        <v>2</v>
      </c>
      <c r="D21">
        <f>D20/D19</f>
        <v>0.1</v>
      </c>
    </row>
    <row r="22" spans="2:4" x14ac:dyDescent="0.35">
      <c r="B22" t="s">
        <v>5</v>
      </c>
      <c r="C22">
        <v>4</v>
      </c>
      <c r="D22">
        <v>4</v>
      </c>
    </row>
    <row r="23" spans="2:4" x14ac:dyDescent="0.35">
      <c r="B23" t="s">
        <v>91</v>
      </c>
      <c r="C23">
        <f>C22*C19</f>
        <v>80</v>
      </c>
      <c r="D23">
        <f>D22*D19</f>
        <v>4000</v>
      </c>
    </row>
    <row r="24" spans="2:4" x14ac:dyDescent="0.35">
      <c r="B24" t="s">
        <v>92</v>
      </c>
      <c r="C24">
        <f>SQRT(C22)*C20</f>
        <v>80</v>
      </c>
      <c r="D24">
        <f>SQRT(D22)*D20</f>
        <v>200</v>
      </c>
    </row>
    <row r="25" spans="2:4" x14ac:dyDescent="0.35">
      <c r="B25" t="s">
        <v>93</v>
      </c>
      <c r="C25">
        <f>NORMINV(C18,C23,C24)</f>
        <v>211.58829015611772</v>
      </c>
      <c r="D25">
        <f>NORMINV(D18,D23,D24)</f>
        <v>4328.9707253902943</v>
      </c>
    </row>
    <row r="26" spans="2:4" x14ac:dyDescent="0.35">
      <c r="B26" t="s">
        <v>38</v>
      </c>
      <c r="C26">
        <f>ROUND(C25-C23,0)*C17</f>
        <v>211200</v>
      </c>
      <c r="D26">
        <f>ROUND(D25-D23,0)*D17</f>
        <v>526400</v>
      </c>
    </row>
    <row r="27" spans="2:4" x14ac:dyDescent="0.35">
      <c r="B27" t="s">
        <v>87</v>
      </c>
      <c r="C27" s="5">
        <v>500</v>
      </c>
      <c r="D27" s="5">
        <v>30</v>
      </c>
    </row>
    <row r="28" spans="2:4" x14ac:dyDescent="0.35">
      <c r="B28" t="s">
        <v>88</v>
      </c>
      <c r="C28">
        <v>0.25</v>
      </c>
      <c r="D28">
        <v>0.25</v>
      </c>
    </row>
    <row r="29" spans="2:4" x14ac:dyDescent="0.35">
      <c r="B29" t="s">
        <v>89</v>
      </c>
      <c r="C29" s="6">
        <f>C27*C28</f>
        <v>125</v>
      </c>
      <c r="D29" s="6">
        <f>D27*D28</f>
        <v>7.5</v>
      </c>
    </row>
    <row r="30" spans="2:4" x14ac:dyDescent="0.35">
      <c r="B30" t="s">
        <v>90</v>
      </c>
      <c r="C30" s="6">
        <f>C29*C26</f>
        <v>26400000</v>
      </c>
      <c r="D30" s="6">
        <f>D29*D26</f>
        <v>3948000</v>
      </c>
    </row>
    <row r="32" spans="2:4" x14ac:dyDescent="0.35">
      <c r="B32" s="1" t="s">
        <v>97</v>
      </c>
    </row>
    <row r="33" spans="2:4" x14ac:dyDescent="0.35">
      <c r="B33" t="s">
        <v>98</v>
      </c>
      <c r="C33" s="6">
        <f>C30-C15</f>
        <v>25742058.549219411</v>
      </c>
      <c r="D33" s="6">
        <f>D30-D15</f>
        <v>3849308.7823829125</v>
      </c>
    </row>
    <row r="34" spans="2:4" x14ac:dyDescent="0.35">
      <c r="B34" t="s">
        <v>99</v>
      </c>
      <c r="C34" s="5">
        <f>C33/(52*C4)</f>
        <v>15.469987108905896</v>
      </c>
      <c r="D34" s="5">
        <f>D33/(52*D4)</f>
        <v>4.626573055748693E-2</v>
      </c>
    </row>
    <row r="35" spans="2:4" x14ac:dyDescent="0.35">
      <c r="B35" t="s">
        <v>100</v>
      </c>
      <c r="C35" s="9">
        <f>C34/C27</f>
        <v>3.0939974217811791E-2</v>
      </c>
      <c r="D35" s="9">
        <f>D34/D27</f>
        <v>1.5421910185828976E-3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H22" sqref="H22"/>
    </sheetView>
  </sheetViews>
  <sheetFormatPr defaultRowHeight="14.5" x14ac:dyDescent="0.35"/>
  <cols>
    <col min="1" max="1" width="22.36328125" customWidth="1"/>
  </cols>
  <sheetData>
    <row r="1" spans="1:5" x14ac:dyDescent="0.35">
      <c r="A1" s="1" t="s">
        <v>108</v>
      </c>
    </row>
    <row r="2" spans="1:5" x14ac:dyDescent="0.35">
      <c r="A2" t="s">
        <v>101</v>
      </c>
      <c r="B2">
        <v>100</v>
      </c>
    </row>
    <row r="3" spans="1:5" x14ac:dyDescent="0.35">
      <c r="A3" t="s">
        <v>102</v>
      </c>
    </row>
    <row r="4" spans="1:5" x14ac:dyDescent="0.35">
      <c r="A4" t="s">
        <v>2</v>
      </c>
      <c r="B4">
        <v>30</v>
      </c>
    </row>
    <row r="5" spans="1:5" x14ac:dyDescent="0.35">
      <c r="A5" t="s">
        <v>3</v>
      </c>
      <c r="B5">
        <v>10</v>
      </c>
    </row>
    <row r="6" spans="1:5" x14ac:dyDescent="0.35">
      <c r="A6" t="s">
        <v>103</v>
      </c>
      <c r="B6">
        <v>2</v>
      </c>
    </row>
    <row r="7" spans="1:5" x14ac:dyDescent="0.35">
      <c r="A7" t="s">
        <v>94</v>
      </c>
      <c r="B7">
        <v>0.95</v>
      </c>
    </row>
    <row r="8" spans="1:5" x14ac:dyDescent="0.35">
      <c r="A8" s="1"/>
      <c r="B8" s="1"/>
      <c r="C8" s="1"/>
    </row>
    <row r="9" spans="1:5" x14ac:dyDescent="0.35">
      <c r="A9" s="1" t="s">
        <v>109</v>
      </c>
      <c r="B9" s="1">
        <f>B4*B6</f>
        <v>60</v>
      </c>
      <c r="C9" s="1"/>
    </row>
    <row r="10" spans="1:5" x14ac:dyDescent="0.35">
      <c r="A10" t="s">
        <v>110</v>
      </c>
      <c r="B10">
        <f>(B5*SQRT(B6))</f>
        <v>14.142135623730951</v>
      </c>
    </row>
    <row r="11" spans="1:5" x14ac:dyDescent="0.35">
      <c r="A11" t="s">
        <v>105</v>
      </c>
      <c r="B11">
        <f>_xlfn.NORM.INV(B7,B9,B10)</f>
        <v>83.261743073533466</v>
      </c>
    </row>
    <row r="12" spans="1:5" x14ac:dyDescent="0.35">
      <c r="A12" t="s">
        <v>106</v>
      </c>
      <c r="B12">
        <f>(B11-B9)</f>
        <v>23.261743073533466</v>
      </c>
    </row>
    <row r="13" spans="1:5" x14ac:dyDescent="0.35">
      <c r="A13" t="s">
        <v>107</v>
      </c>
      <c r="B13">
        <f>B2*B12</f>
        <v>2326.1743073533466</v>
      </c>
    </row>
    <row r="15" spans="1:5" x14ac:dyDescent="0.35">
      <c r="A15" s="1" t="s">
        <v>112</v>
      </c>
    </row>
    <row r="16" spans="1:5" x14ac:dyDescent="0.35">
      <c r="A16" t="s">
        <v>111</v>
      </c>
      <c r="B16">
        <f>B2*B6*B4</f>
        <v>6000</v>
      </c>
      <c r="E16" t="s">
        <v>115</v>
      </c>
    </row>
    <row r="17" spans="1:2" x14ac:dyDescent="0.35">
      <c r="A17" t="s">
        <v>113</v>
      </c>
      <c r="B17">
        <f>SQRT(B6)*(SQRT(100)*B5)</f>
        <v>141.42135623730951</v>
      </c>
    </row>
    <row r="18" spans="1:2" x14ac:dyDescent="0.35">
      <c r="A18" t="s">
        <v>114</v>
      </c>
      <c r="B18">
        <f>_xlfn.NORM.INV(B7,B16,B17)</f>
        <v>6232.6174307353349</v>
      </c>
    </row>
    <row r="19" spans="1:2" x14ac:dyDescent="0.35">
      <c r="A19" t="s">
        <v>107</v>
      </c>
      <c r="B19">
        <f>B18-B16</f>
        <v>232.61743073533489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3"/>
  <sheetViews>
    <sheetView workbookViewId="0">
      <selection activeCell="C13" sqref="C13"/>
    </sheetView>
  </sheetViews>
  <sheetFormatPr defaultRowHeight="14.5" x14ac:dyDescent="0.35"/>
  <cols>
    <col min="2" max="2" width="14.36328125" customWidth="1"/>
  </cols>
  <sheetData>
    <row r="1" spans="2:3" x14ac:dyDescent="0.35">
      <c r="B1" t="s">
        <v>116</v>
      </c>
    </row>
    <row r="2" spans="2:3" x14ac:dyDescent="0.35">
      <c r="B2" t="s">
        <v>117</v>
      </c>
    </row>
    <row r="3" spans="2:3" x14ac:dyDescent="0.35">
      <c r="B3" t="s">
        <v>118</v>
      </c>
    </row>
    <row r="4" spans="2:3" x14ac:dyDescent="0.35">
      <c r="B4" t="s">
        <v>119</v>
      </c>
    </row>
    <row r="5" spans="2:3" x14ac:dyDescent="0.35">
      <c r="B5" t="s">
        <v>94</v>
      </c>
      <c r="C5">
        <v>0.9</v>
      </c>
    </row>
    <row r="6" spans="2:3" x14ac:dyDescent="0.35">
      <c r="B6" t="s">
        <v>120</v>
      </c>
      <c r="C6">
        <v>2500</v>
      </c>
    </row>
    <row r="7" spans="2:3" x14ac:dyDescent="0.35">
      <c r="B7" t="s">
        <v>121</v>
      </c>
      <c r="C7">
        <v>500</v>
      </c>
    </row>
    <row r="8" spans="2:3" x14ac:dyDescent="0.35">
      <c r="B8" t="s">
        <v>5</v>
      </c>
      <c r="C8">
        <v>2</v>
      </c>
    </row>
    <row r="9" spans="2:3" x14ac:dyDescent="0.35">
      <c r="B9" t="s">
        <v>122</v>
      </c>
      <c r="C9">
        <v>4</v>
      </c>
    </row>
    <row r="10" spans="2:3" x14ac:dyDescent="0.35">
      <c r="B10" t="s">
        <v>123</v>
      </c>
      <c r="C10">
        <f>(C8+C9)*C6</f>
        <v>15000</v>
      </c>
    </row>
    <row r="11" spans="2:3" x14ac:dyDescent="0.35">
      <c r="B11" t="s">
        <v>124</v>
      </c>
      <c r="C11">
        <f>SQRT(C8+C9)*C7</f>
        <v>1224.744871391589</v>
      </c>
    </row>
    <row r="12" spans="2:3" ht="43.5" x14ac:dyDescent="0.35">
      <c r="B12" s="10" t="s">
        <v>125</v>
      </c>
      <c r="C12">
        <f>_xlfn.NORM.INV(C5,C10,C11)</f>
        <v>16569.573707324613</v>
      </c>
    </row>
    <row r="13" spans="2:3" x14ac:dyDescent="0.35">
      <c r="B13" t="s">
        <v>104</v>
      </c>
      <c r="C13">
        <f>C12-C10</f>
        <v>1569.5737073246128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cycle service level</vt:lpstr>
      <vt:lpstr>Needed reorder point</vt:lpstr>
      <vt:lpstr>Fill Rate</vt:lpstr>
      <vt:lpstr>Reorder pt for fill rate</vt:lpstr>
      <vt:lpstr>Reorder point LT not known</vt:lpstr>
      <vt:lpstr>Aggregation</vt:lpstr>
      <vt:lpstr>Centralization</vt:lpstr>
      <vt:lpstr>CV and Aggregation</vt:lpstr>
      <vt:lpstr>Postponement</vt:lpstr>
      <vt:lpstr>Periodic Review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2017-03-19T22:28:42Z</dcterms:created>
  <dcterms:modified xsi:type="dcterms:W3CDTF">2017-03-29T20:03:17Z</dcterms:modified>
</cp:coreProperties>
</file>